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یوسفی\1404\تیر\"/>
    </mc:Choice>
  </mc:AlternateContent>
  <xr:revisionPtr revIDLastSave="0" documentId="13_ncr:1_{4F6681DC-F36D-43CE-B909-91C917892816}" xr6:coauthVersionLast="47" xr6:coauthVersionMax="47" xr10:uidLastSave="{00000000-0000-0000-0000-000000000000}"/>
  <bookViews>
    <workbookView xWindow="-120" yWindow="-120" windowWidth="29040" windowHeight="15840" xr2:uid="{62289AD1-D3A8-4E7D-A9E9-FAD54F557ADA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Sheet1!$A$1:$K$96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J49" i="1"/>
  <c r="I49" i="1"/>
  <c r="K87" i="1"/>
  <c r="K73" i="1"/>
  <c r="K5" i="1"/>
  <c r="G17" i="1"/>
  <c r="J17" i="1"/>
  <c r="I17" i="1"/>
  <c r="E16" i="1"/>
  <c r="F16" i="1"/>
  <c r="D16" i="1"/>
  <c r="G83" i="1"/>
  <c r="E83" i="1"/>
  <c r="H83" i="1" s="1"/>
  <c r="G93" i="1"/>
  <c r="F92" i="1"/>
  <c r="D92" i="1"/>
  <c r="F91" i="1"/>
  <c r="D91" i="1"/>
  <c r="F90" i="1"/>
  <c r="D90" i="1"/>
  <c r="F89" i="1"/>
  <c r="D89" i="1"/>
  <c r="E88" i="1"/>
  <c r="H88" i="1" s="1"/>
  <c r="F88" i="1"/>
  <c r="D88" i="1"/>
  <c r="F87" i="1"/>
  <c r="D87" i="1"/>
  <c r="F86" i="1"/>
  <c r="D86" i="1"/>
  <c r="F85" i="1"/>
  <c r="D85" i="1"/>
  <c r="F84" i="1"/>
  <c r="D84" i="1"/>
  <c r="D83" i="1"/>
  <c r="F83" i="1"/>
  <c r="E82" i="1"/>
  <c r="F82" i="1"/>
  <c r="D82" i="1"/>
  <c r="F81" i="1"/>
  <c r="D81" i="1"/>
  <c r="F80" i="1"/>
  <c r="E80" i="1"/>
  <c r="H80" i="1" s="1"/>
  <c r="D80" i="1"/>
  <c r="F79" i="1"/>
  <c r="D79" i="1"/>
  <c r="E78" i="1"/>
  <c r="H78" i="1" s="1"/>
  <c r="F78" i="1"/>
  <c r="D78" i="1"/>
  <c r="E77" i="1"/>
  <c r="H77" i="1" s="1"/>
  <c r="F77" i="1"/>
  <c r="D77" i="1"/>
  <c r="E76" i="1"/>
  <c r="H76" i="1" s="1"/>
  <c r="F76" i="1"/>
  <c r="D76" i="1"/>
  <c r="E75" i="1"/>
  <c r="H75" i="1" s="1"/>
  <c r="F75" i="1"/>
  <c r="D75" i="1"/>
  <c r="F74" i="1"/>
  <c r="D74" i="1"/>
  <c r="E73" i="1"/>
  <c r="H73" i="1" s="1"/>
  <c r="F73" i="1"/>
  <c r="D73" i="1"/>
  <c r="G70" i="1"/>
  <c r="F70" i="1"/>
  <c r="E70" i="1"/>
  <c r="D70" i="1"/>
  <c r="G65" i="1"/>
  <c r="E65" i="1"/>
  <c r="F64" i="1"/>
  <c r="F65" i="1" s="1"/>
  <c r="D64" i="1"/>
  <c r="D65" i="1" s="1"/>
  <c r="G61" i="1"/>
  <c r="E61" i="1"/>
  <c r="F60" i="1"/>
  <c r="D60" i="1"/>
  <c r="F59" i="1"/>
  <c r="D59" i="1"/>
  <c r="F58" i="1"/>
  <c r="D58" i="1"/>
  <c r="G55" i="1"/>
  <c r="F54" i="1"/>
  <c r="D54" i="1"/>
  <c r="F53" i="1"/>
  <c r="D53" i="1"/>
  <c r="E52" i="1"/>
  <c r="E55" i="1" s="1"/>
  <c r="F52" i="1"/>
  <c r="D52" i="1"/>
  <c r="F47" i="1"/>
  <c r="D47" i="1"/>
  <c r="E46" i="1"/>
  <c r="H46" i="1" s="1"/>
  <c r="F46" i="1"/>
  <c r="D46" i="1"/>
  <c r="E45" i="1"/>
  <c r="H45" i="1" s="1"/>
  <c r="F45" i="1"/>
  <c r="D45" i="1"/>
  <c r="E44" i="1"/>
  <c r="H44" i="1" s="1"/>
  <c r="F44" i="1"/>
  <c r="D44" i="1"/>
  <c r="E43" i="1"/>
  <c r="H43" i="1" s="1"/>
  <c r="F43" i="1"/>
  <c r="D43" i="1"/>
  <c r="E42" i="1"/>
  <c r="H42" i="1" s="1"/>
  <c r="F42" i="1"/>
  <c r="D42" i="1"/>
  <c r="G39" i="1"/>
  <c r="E39" i="1"/>
  <c r="F38" i="1"/>
  <c r="D38" i="1"/>
  <c r="F37" i="1"/>
  <c r="D37" i="1"/>
  <c r="G34" i="1"/>
  <c r="F33" i="1"/>
  <c r="D33" i="1"/>
  <c r="E32" i="1"/>
  <c r="H32" i="1" s="1"/>
  <c r="F32" i="1"/>
  <c r="D32" i="1"/>
  <c r="F31" i="1"/>
  <c r="D31" i="1"/>
  <c r="F30" i="1"/>
  <c r="D30" i="1"/>
  <c r="F29" i="1"/>
  <c r="D29" i="1"/>
  <c r="E28" i="1"/>
  <c r="H28" i="1" s="1"/>
  <c r="F28" i="1"/>
  <c r="D28" i="1"/>
  <c r="G25" i="1"/>
  <c r="E24" i="1"/>
  <c r="H24" i="1" s="1"/>
  <c r="F24" i="1"/>
  <c r="D24" i="1"/>
  <c r="F23" i="1"/>
  <c r="D23" i="1"/>
  <c r="E22" i="1"/>
  <c r="K22" i="1" s="1"/>
  <c r="F22" i="1"/>
  <c r="D22" i="1"/>
  <c r="F21" i="1"/>
  <c r="D21" i="1"/>
  <c r="F20" i="1"/>
  <c r="D20" i="1"/>
  <c r="F15" i="1"/>
  <c r="D15" i="1"/>
  <c r="E14" i="1"/>
  <c r="K14" i="1" s="1"/>
  <c r="F14" i="1"/>
  <c r="D14" i="1"/>
  <c r="E13" i="1"/>
  <c r="F13" i="1"/>
  <c r="D13" i="1"/>
  <c r="E12" i="1"/>
  <c r="H12" i="1" s="1"/>
  <c r="F12" i="1"/>
  <c r="D12" i="1"/>
  <c r="F11" i="1"/>
  <c r="D11" i="1"/>
  <c r="E10" i="1"/>
  <c r="H10" i="1" s="1"/>
  <c r="F10" i="1"/>
  <c r="D10" i="1"/>
  <c r="F9" i="1"/>
  <c r="D9" i="1"/>
  <c r="E8" i="1"/>
  <c r="H8" i="1" s="1"/>
  <c r="F8" i="1"/>
  <c r="D8" i="1"/>
  <c r="E7" i="1"/>
  <c r="H7" i="1" s="1"/>
  <c r="F7" i="1"/>
  <c r="D7" i="1"/>
  <c r="F6" i="1"/>
  <c r="D6" i="1"/>
  <c r="F5" i="1"/>
  <c r="D5" i="1"/>
  <c r="E4" i="1"/>
  <c r="H4" i="1" s="1"/>
  <c r="F4" i="1"/>
  <c r="D4" i="1"/>
  <c r="H87" i="1"/>
  <c r="H84" i="1"/>
  <c r="H23" i="1"/>
  <c r="H5" i="1"/>
  <c r="C16" i="1" l="1"/>
  <c r="K7" i="1"/>
  <c r="F49" i="1"/>
  <c r="K12" i="1"/>
  <c r="K24" i="1"/>
  <c r="K45" i="1"/>
  <c r="D49" i="1"/>
  <c r="K83" i="1"/>
  <c r="E49" i="1"/>
  <c r="H49" i="1" s="1"/>
  <c r="G96" i="1"/>
  <c r="F17" i="1"/>
  <c r="D17" i="1"/>
  <c r="K43" i="1"/>
  <c r="K52" i="1"/>
  <c r="K75" i="1"/>
  <c r="K76" i="1"/>
  <c r="K42" i="1"/>
  <c r="K88" i="1"/>
  <c r="E17" i="1"/>
  <c r="K17" i="1" s="1"/>
  <c r="E93" i="1"/>
  <c r="H93" i="1" s="1"/>
  <c r="D93" i="1"/>
  <c r="F93" i="1"/>
  <c r="H52" i="1"/>
  <c r="D61" i="1"/>
  <c r="F61" i="1"/>
  <c r="F55" i="1"/>
  <c r="D55" i="1"/>
  <c r="F39" i="1"/>
  <c r="D39" i="1"/>
  <c r="E34" i="1"/>
  <c r="D34" i="1"/>
  <c r="F34" i="1"/>
  <c r="D25" i="1"/>
  <c r="F25" i="1"/>
  <c r="E25" i="1"/>
  <c r="K4" i="1"/>
  <c r="K28" i="1"/>
  <c r="H22" i="1"/>
  <c r="H14" i="1"/>
  <c r="K80" i="1"/>
  <c r="K32" i="1"/>
  <c r="K10" i="1"/>
  <c r="D96" i="1" l="1"/>
  <c r="F96" i="1"/>
  <c r="E96" i="1"/>
  <c r="H55" i="1"/>
  <c r="H34" i="1"/>
  <c r="H25" i="1"/>
  <c r="H17" i="1"/>
  <c r="C14" i="1"/>
  <c r="C17" i="1"/>
  <c r="K46" i="1" l="1"/>
  <c r="K8" i="1"/>
  <c r="K77" i="1" l="1"/>
  <c r="K44" i="1"/>
  <c r="K84" i="1"/>
  <c r="K23" i="1"/>
  <c r="J61" i="1"/>
  <c r="J55" i="1"/>
  <c r="K49" i="1"/>
  <c r="J25" i="1"/>
  <c r="J93" i="1"/>
  <c r="I93" i="1"/>
  <c r="J70" i="1"/>
  <c r="I70" i="1"/>
  <c r="J65" i="1"/>
  <c r="I65" i="1"/>
  <c r="I61" i="1"/>
  <c r="I55" i="1"/>
  <c r="K55" i="1" s="1"/>
  <c r="I39" i="1"/>
  <c r="J34" i="1"/>
  <c r="I34" i="1"/>
  <c r="K34" i="1" s="1"/>
  <c r="I25" i="1"/>
  <c r="K93" i="1" l="1"/>
  <c r="K25" i="1"/>
  <c r="K78" i="1"/>
  <c r="J96" i="1"/>
  <c r="I96" i="1"/>
  <c r="H96" i="1" l="1"/>
  <c r="C92" i="1" l="1"/>
  <c r="C90" i="1"/>
  <c r="C89" i="1"/>
  <c r="C88" i="1"/>
  <c r="C87" i="1"/>
  <c r="C86" i="1"/>
  <c r="C85" i="1"/>
  <c r="C84" i="1"/>
  <c r="C83" i="1"/>
  <c r="C82" i="1"/>
  <c r="C81" i="1"/>
  <c r="C80" i="1"/>
  <c r="C78" i="1"/>
  <c r="C77" i="1"/>
  <c r="C76" i="1"/>
  <c r="C74" i="1"/>
  <c r="C73" i="1"/>
  <c r="C65" i="1"/>
  <c r="C64" i="1"/>
  <c r="C59" i="1"/>
  <c r="C53" i="1"/>
  <c r="C46" i="1"/>
  <c r="C45" i="1"/>
  <c r="C44" i="1"/>
  <c r="C43" i="1"/>
  <c r="C42" i="1"/>
  <c r="C38" i="1"/>
  <c r="C34" i="1"/>
  <c r="C33" i="1"/>
  <c r="C32" i="1"/>
  <c r="C28" i="1"/>
  <c r="C24" i="1"/>
  <c r="C23" i="1"/>
  <c r="C20" i="1"/>
  <c r="C15" i="1"/>
  <c r="C12" i="1"/>
  <c r="C11" i="1"/>
  <c r="C10" i="1"/>
  <c r="C9" i="1"/>
  <c r="C8" i="1"/>
  <c r="C7" i="1"/>
  <c r="C6" i="1"/>
  <c r="C5" i="1"/>
  <c r="C4" i="1"/>
  <c r="C39" i="1" l="1"/>
  <c r="C61" i="1"/>
  <c r="C49" i="1"/>
  <c r="C22" i="1"/>
  <c r="C52" i="1"/>
  <c r="C93" i="1"/>
  <c r="C55" i="1"/>
  <c r="C75" i="1"/>
  <c r="C30" i="1"/>
  <c r="C25" i="1"/>
  <c r="C96" i="1" l="1"/>
</calcChain>
</file>

<file path=xl/sharedStrings.xml><?xml version="1.0" encoding="utf-8"?>
<sst xmlns="http://schemas.openxmlformats.org/spreadsheetml/2006/main" count="96" uniqueCount="96">
  <si>
    <t>ردیف</t>
  </si>
  <si>
    <t>هلدینگ / شرکت</t>
  </si>
  <si>
    <t>درصد اعتباری</t>
  </si>
  <si>
    <t xml:space="preserve"> مقدار عرضه  کل  (تن)</t>
  </si>
  <si>
    <t>عرضه اعتباری(تن)</t>
  </si>
  <si>
    <t>کل معامله(تن)</t>
  </si>
  <si>
    <t>معامله اعتباری(تن)</t>
  </si>
  <si>
    <t>نسبت فروش اعتباری</t>
  </si>
  <si>
    <t>تعداد کل  محصول عرضه شده</t>
  </si>
  <si>
    <t xml:space="preserve">تعداد کل  محصول عرضه اعتباری </t>
  </si>
  <si>
    <t xml:space="preserve"> هلدینگ خلیج فارس </t>
  </si>
  <si>
    <t xml:space="preserve">پتروشیمی اروند </t>
  </si>
  <si>
    <t>پتروشیمی بندرامام</t>
  </si>
  <si>
    <t>پتروشیمی بوعلی سینا</t>
  </si>
  <si>
    <t>پتروشیمی شهید تندگویان</t>
  </si>
  <si>
    <t>پتروشیمی خوزستان</t>
  </si>
  <si>
    <t>پتروشیمی کارون</t>
  </si>
  <si>
    <t xml:space="preserve">پتروشیمی پارس   </t>
  </si>
  <si>
    <t>پتروشیمی نوری</t>
  </si>
  <si>
    <t xml:space="preserve">پتروشیمی ایلام </t>
  </si>
  <si>
    <t>پتروشیمی ارومیه</t>
  </si>
  <si>
    <t>کود شیمیایی اوره لردگان</t>
  </si>
  <si>
    <t>پالایش گاز بید بلند خلیج فارس</t>
  </si>
  <si>
    <t xml:space="preserve">میانگین اعتباری هلدینگ خلیج فارس  </t>
  </si>
  <si>
    <t xml:space="preserve"> هلدینگ پارسیان</t>
  </si>
  <si>
    <t>پتروشیمی پردیس</t>
  </si>
  <si>
    <t xml:space="preserve">پتروشیمی کرمانشاه </t>
  </si>
  <si>
    <t xml:space="preserve">پتروشیمی شیراز </t>
  </si>
  <si>
    <t xml:space="preserve">پتروشیمی زاگرس </t>
  </si>
  <si>
    <t xml:space="preserve">پتروشیمی تبریز </t>
  </si>
  <si>
    <t>میانگین اعتباری  هلدینگ پارسیان</t>
  </si>
  <si>
    <t>هلدینگ تاپیکو</t>
  </si>
  <si>
    <t xml:space="preserve">پتروشیمی غدیر    </t>
  </si>
  <si>
    <t xml:space="preserve">پتروشیمی فارابی </t>
  </si>
  <si>
    <t xml:space="preserve">پتروشیمی فن آوران  </t>
  </si>
  <si>
    <t>پتروشیمی آبادان</t>
  </si>
  <si>
    <t xml:space="preserve">پتروشیمی خراسان   </t>
  </si>
  <si>
    <t>شیمی بافت و شیمی تکس</t>
  </si>
  <si>
    <t>میانگین اعتباری هلدینگ تاپیکو</t>
  </si>
  <si>
    <t xml:space="preserve"> هلدینگ شستان</t>
  </si>
  <si>
    <t>پتروشیمی مرجان</t>
  </si>
  <si>
    <t>پتروشيمي بوشهر</t>
  </si>
  <si>
    <t>میانگین اعتباری هلدینگ شستان</t>
  </si>
  <si>
    <t xml:space="preserve"> هلدینگ گروه باختر</t>
  </si>
  <si>
    <t xml:space="preserve">پلیمر کرمانشاه </t>
  </si>
  <si>
    <t xml:space="preserve">پتروشیمی کردستان </t>
  </si>
  <si>
    <t xml:space="preserve">پتروشیمی مهاباد </t>
  </si>
  <si>
    <t>پتروشیمی میاندوآب</t>
  </si>
  <si>
    <t>پتروشیمی لرستان</t>
  </si>
  <si>
    <t>پارس گلایکول</t>
  </si>
  <si>
    <t>میانگین اعتباری هلدینگ گروه باختر</t>
  </si>
  <si>
    <t xml:space="preserve"> صندوق بازنشستگی کشوری (صبا انرژی)</t>
  </si>
  <si>
    <t>پتروشیمی جم</t>
  </si>
  <si>
    <t>پلی پروپیلن جم</t>
  </si>
  <si>
    <t>صنایع پتروشیمی مسجد سلیمان</t>
  </si>
  <si>
    <t>میانگین اعتباری صبا انرژی</t>
  </si>
  <si>
    <t>هلدینگ پتروفرهنگ</t>
  </si>
  <si>
    <t>کیمیای پارس خاور میانه</t>
  </si>
  <si>
    <t>پتروشیمی مروارید</t>
  </si>
  <si>
    <t>پتروشیمی سبلان</t>
  </si>
  <si>
    <t>میانگین اعتباری هلدینگ پتروفرهنگ</t>
  </si>
  <si>
    <t xml:space="preserve"> گروه انرژی تدبیر(ستاد اجرایی فرمان امام ره)</t>
  </si>
  <si>
    <t xml:space="preserve">تولیدات پتروشیمی قائد بصیر  </t>
  </si>
  <si>
    <t>میانگین اعتباری گروه انرژی تدبیر</t>
  </si>
  <si>
    <t>هلدینگ اهداف (صندوق بازنشستگی نفت )</t>
  </si>
  <si>
    <t>پتروشیمی خارک</t>
  </si>
  <si>
    <t>پترو پالایش کنگان</t>
  </si>
  <si>
    <t>میانگین اعتباری هلدینگ اهداف</t>
  </si>
  <si>
    <t>سایر شرکت های مستقل</t>
  </si>
  <si>
    <t xml:space="preserve">پتروشیمی رجال </t>
  </si>
  <si>
    <t>صنایع پتروشیمی پلی استایرن انتخاب</t>
  </si>
  <si>
    <t xml:space="preserve">پتروشیمی امیرکبیر </t>
  </si>
  <si>
    <t xml:space="preserve">پتروشیمی شازند اراک </t>
  </si>
  <si>
    <t>صنایع پتروشیمی تخت جمشید</t>
  </si>
  <si>
    <t>پتروشیمایی تخت جمشید پارس عسلویه</t>
  </si>
  <si>
    <t>پتروشیمی رازی (و آریا فسفریک)</t>
  </si>
  <si>
    <t xml:space="preserve">صنعتی نوید زر شیمی </t>
  </si>
  <si>
    <t>پلی نار</t>
  </si>
  <si>
    <t>پتروشیمی اصفهان</t>
  </si>
  <si>
    <t>پتروشیمی بیستون</t>
  </si>
  <si>
    <t>متانول کاوه</t>
  </si>
  <si>
    <t>پتروشیمی مهر</t>
  </si>
  <si>
    <t xml:space="preserve">پلیمر آریاساسول </t>
  </si>
  <si>
    <t>شرکت اکسیر حلال عسلویه</t>
  </si>
  <si>
    <t>پتروشیمی مارون</t>
  </si>
  <si>
    <t>پتروشیمی لاله</t>
  </si>
  <si>
    <t>سرمایه گذاری صنایع شیمیائی ایران</t>
  </si>
  <si>
    <t>فرساشیمی</t>
  </si>
  <si>
    <t>شرکت دی آریا پلیمر</t>
  </si>
  <si>
    <t>میانگین اعتباری سایر شرکت های مستقل</t>
  </si>
  <si>
    <t xml:space="preserve">میزان ارزش عرضه اعتباری محصولات پتروشیمیایی در بورس کالا و انرژی (ریال) </t>
  </si>
  <si>
    <t xml:space="preserve">میانگین کل اعتباری </t>
  </si>
  <si>
    <t>امتیاز شرکت ها</t>
  </si>
  <si>
    <t xml:space="preserve">  عرضه اعتباری بورس کالا و انرژی تیر ماه 1404</t>
  </si>
  <si>
    <t>پتروشیمی هنگام</t>
  </si>
  <si>
    <t>آرین متانول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</si>
</sst>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1"/>
      <color theme="1"/>
      <name val="B Nazanin"/>
      <family val="2"/>
    </font>
    <font>
      <sz val="11"/>
      <color theme="1"/>
      <name val="B Nazanin"/>
      <family val="2"/>
    </font>
    <font>
      <b/>
      <sz val="28"/>
      <color theme="1"/>
      <name val="B Nazanin"/>
      <charset val="178"/>
    </font>
    <font>
      <b/>
      <sz val="16"/>
      <name val="B Nazanin"/>
      <charset val="178"/>
    </font>
    <font>
      <b/>
      <sz val="16"/>
      <color theme="1"/>
      <name val="B Nazanin"/>
      <charset val="178"/>
    </font>
    <font>
      <sz val="16"/>
      <color theme="1"/>
      <name val="B Nazanin"/>
      <charset val="178"/>
    </font>
    <font>
      <sz val="16"/>
      <name val="B Nazanin"/>
      <charset val="178"/>
    </font>
    <font>
      <b/>
      <sz val="18"/>
      <color theme="1"/>
      <name val="B Nazanin"/>
      <charset val="178"/>
    </font>
    <font>
      <b/>
      <sz val="18"/>
      <color rgb="FFFF0000"/>
      <name val="B Nazanin"/>
      <charset val="178"/>
    </font>
    <font>
      <b/>
      <sz val="22"/>
      <color rgb="FFFF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 readingOrder="2"/>
    </xf>
    <xf numFmtId="9" fontId="6" fillId="2" borderId="1" xfId="1" applyFont="1" applyFill="1" applyBorder="1" applyAlignment="1">
      <alignment horizontal="center" vertical="center" wrapText="1" readingOrder="2"/>
    </xf>
    <xf numFmtId="3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0" fontId="5" fillId="2" borderId="1" xfId="0" applyFont="1" applyFill="1" applyBorder="1" applyAlignment="1">
      <alignment horizontal="right" vertical="center"/>
    </xf>
    <xf numFmtId="9" fontId="3" fillId="3" borderId="1" xfId="1" applyFont="1" applyFill="1" applyBorder="1" applyAlignment="1">
      <alignment horizontal="center" vertical="center" wrapText="1" readingOrder="2"/>
    </xf>
    <xf numFmtId="3" fontId="6" fillId="0" borderId="1" xfId="0" applyNumberFormat="1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0" fillId="2" borderId="0" xfId="0" applyFill="1"/>
    <xf numFmtId="0" fontId="5" fillId="0" borderId="1" xfId="0" applyFont="1" applyBorder="1" applyAlignment="1">
      <alignment horizontal="right" vertical="center"/>
    </xf>
    <xf numFmtId="9" fontId="3" fillId="2" borderId="1" xfId="1" applyFont="1" applyFill="1" applyBorder="1" applyAlignment="1">
      <alignment horizontal="center" vertical="center" wrapText="1" readingOrder="2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9" fontId="0" fillId="0" borderId="0" xfId="1" applyFont="1"/>
    <xf numFmtId="0" fontId="0" fillId="0" borderId="0" xfId="0" applyAlignment="1">
      <alignment horizontal="center" vertical="center"/>
    </xf>
    <xf numFmtId="3" fontId="0" fillId="0" borderId="1" xfId="0" applyNumberFormat="1" applyBorder="1"/>
    <xf numFmtId="3" fontId="0" fillId="0" borderId="0" xfId="0" applyNumberFormat="1"/>
    <xf numFmtId="0" fontId="3" fillId="4" borderId="5" xfId="0" applyFont="1" applyFill="1" applyBorder="1" applyAlignment="1">
      <alignment horizontal="center" vertical="center" wrapText="1" readingOrder="2"/>
    </xf>
    <xf numFmtId="3" fontId="3" fillId="4" borderId="1" xfId="0" applyNumberFormat="1" applyFont="1" applyFill="1" applyBorder="1" applyAlignment="1">
      <alignment horizontal="center" vertical="center" wrapText="1" readingOrder="2"/>
    </xf>
    <xf numFmtId="9" fontId="3" fillId="4" borderId="1" xfId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9" fontId="7" fillId="4" borderId="5" xfId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 readingOrder="2"/>
    </xf>
    <xf numFmtId="9" fontId="6" fillId="4" borderId="5" xfId="1" applyFont="1" applyFill="1" applyBorder="1" applyAlignment="1">
      <alignment horizontal="center" vertical="center" wrapText="1" readingOrder="2"/>
    </xf>
    <xf numFmtId="0" fontId="6" fillId="4" borderId="5" xfId="0" applyFont="1" applyFill="1" applyBorder="1" applyAlignment="1">
      <alignment horizontal="center" vertical="center" wrapText="1" readingOrder="2"/>
    </xf>
    <xf numFmtId="3" fontId="0" fillId="4" borderId="1" xfId="0" applyNumberFormat="1" applyFill="1" applyBorder="1"/>
    <xf numFmtId="164" fontId="8" fillId="0" borderId="3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center" vertical="center" readingOrder="2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wrapText="1" readingOrder="2"/>
    </xf>
    <xf numFmtId="0" fontId="4" fillId="2" borderId="3" xfId="0" applyFont="1" applyFill="1" applyBorder="1" applyAlignment="1">
      <alignment horizontal="right" wrapText="1" readingOrder="2"/>
    </xf>
    <xf numFmtId="0" fontId="4" fillId="2" borderId="4" xfId="0" applyFont="1" applyFill="1" applyBorder="1" applyAlignment="1">
      <alignment horizontal="right" wrapText="1" readingOrder="2"/>
    </xf>
    <xf numFmtId="9" fontId="6" fillId="2" borderId="2" xfId="1" applyFont="1" applyFill="1" applyBorder="1" applyAlignment="1">
      <alignment horizontal="center" vertical="center" wrapText="1" readingOrder="2"/>
    </xf>
    <xf numFmtId="9" fontId="6" fillId="2" borderId="3" xfId="1" applyFont="1" applyFill="1" applyBorder="1" applyAlignment="1">
      <alignment horizontal="center" vertical="center" wrapText="1" readingOrder="2"/>
    </xf>
    <xf numFmtId="9" fontId="6" fillId="2" borderId="4" xfId="1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right" wrapText="1" readingOrder="2"/>
    </xf>
    <xf numFmtId="0" fontId="7" fillId="4" borderId="5" xfId="0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&#1740;&#1608;&#1587;&#1601;&#1740;\1404\&#1578;&#1740;&#1585;\&#1576;&#1608;&#1585;&#1587;%20&#1705;&#1575;&#1604;&#1575;%20&#1575;&#1593;&#1578;&#1576;&#1575;&#1585;&#1740;.xlsx" TargetMode="External"/><Relationship Id="rId1" Type="http://schemas.openxmlformats.org/officeDocument/2006/relationships/externalLinkPath" Target="&#1576;&#1608;&#1585;&#1587;%20&#1705;&#1575;&#1604;&#1575;%20&#1575;&#1593;&#1578;&#1576;&#1575;&#1585;&#174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&#1740;&#1608;&#1587;&#1601;&#1740;\1404\&#1578;&#1740;&#1585;\&#1576;&#1608;&#1585;&#1587;%20&#1575;&#1606;&#1585;&#1688;&#1740;%20&#1575;&#1593;&#1578;&#1576;&#1575;&#1585;&#1740;.xlsx" TargetMode="External"/><Relationship Id="rId1" Type="http://schemas.openxmlformats.org/officeDocument/2006/relationships/externalLinkPath" Target="&#1576;&#1608;&#1585;&#1587;%20&#1575;&#1606;&#1585;&#1688;&#1740;%20&#1575;&#1593;&#1578;&#1576;&#1575;&#1585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vot"/>
      <sheetName val="1"/>
      <sheetName val="pivot 2"/>
      <sheetName val="2"/>
      <sheetName val="pivot 3"/>
      <sheetName val="3"/>
      <sheetName val="Table"/>
    </sheetNames>
    <sheetDataSet>
      <sheetData sheetId="0" refreshError="1"/>
      <sheetData sheetId="1">
        <row r="5">
          <cell r="B5">
            <v>1560</v>
          </cell>
          <cell r="C5">
            <v>825</v>
          </cell>
        </row>
        <row r="8">
          <cell r="B8">
            <v>90</v>
          </cell>
          <cell r="C8">
            <v>90</v>
          </cell>
        </row>
        <row r="9">
          <cell r="B9">
            <v>430</v>
          </cell>
          <cell r="C9">
            <v>40</v>
          </cell>
        </row>
        <row r="10">
          <cell r="B10">
            <v>83354</v>
          </cell>
          <cell r="C10">
            <v>70503</v>
          </cell>
        </row>
        <row r="11">
          <cell r="B11">
            <v>41272</v>
          </cell>
          <cell r="C11">
            <v>39908</v>
          </cell>
        </row>
        <row r="12">
          <cell r="B12">
            <v>4810</v>
          </cell>
          <cell r="C12">
            <v>1521</v>
          </cell>
        </row>
        <row r="13">
          <cell r="B13">
            <v>42226</v>
          </cell>
          <cell r="C13">
            <v>39094</v>
          </cell>
        </row>
        <row r="14">
          <cell r="B14">
            <v>14260</v>
          </cell>
          <cell r="C14">
            <v>14418</v>
          </cell>
        </row>
        <row r="15">
          <cell r="B15">
            <v>39003</v>
          </cell>
          <cell r="C15">
            <v>33432.6</v>
          </cell>
        </row>
        <row r="16">
          <cell r="B16">
            <v>3780</v>
          </cell>
          <cell r="C16">
            <v>2440</v>
          </cell>
        </row>
        <row r="17">
          <cell r="B17">
            <v>3300</v>
          </cell>
          <cell r="C17">
            <v>3000</v>
          </cell>
        </row>
        <row r="18">
          <cell r="B18">
            <v>19320</v>
          </cell>
          <cell r="C18">
            <v>18936</v>
          </cell>
        </row>
        <row r="19">
          <cell r="B19">
            <v>4000</v>
          </cell>
          <cell r="C19">
            <v>3100</v>
          </cell>
        </row>
        <row r="20">
          <cell r="B20">
            <v>4032</v>
          </cell>
          <cell r="C20">
            <v>4032</v>
          </cell>
        </row>
        <row r="21">
          <cell r="B21">
            <v>22435</v>
          </cell>
          <cell r="C21">
            <v>17384</v>
          </cell>
        </row>
        <row r="22">
          <cell r="B22">
            <v>11995.200000000004</v>
          </cell>
          <cell r="C22">
            <v>4067.2799999999997</v>
          </cell>
        </row>
        <row r="23">
          <cell r="B23">
            <v>44038</v>
          </cell>
          <cell r="C23">
            <v>41812</v>
          </cell>
        </row>
        <row r="24">
          <cell r="B24">
            <v>38314</v>
          </cell>
          <cell r="C24">
            <v>30732</v>
          </cell>
        </row>
        <row r="25">
          <cell r="B25">
            <v>7760</v>
          </cell>
          <cell r="C25">
            <v>4730</v>
          </cell>
        </row>
        <row r="26">
          <cell r="B26">
            <v>2009.6000000000004</v>
          </cell>
          <cell r="C26">
            <v>185.8</v>
          </cell>
        </row>
        <row r="27">
          <cell r="B27">
            <v>3725</v>
          </cell>
          <cell r="C27">
            <v>2825</v>
          </cell>
        </row>
        <row r="28">
          <cell r="B28">
            <v>9787.5</v>
          </cell>
          <cell r="C28">
            <v>9787.5</v>
          </cell>
        </row>
        <row r="29">
          <cell r="B29">
            <v>23954.799999999999</v>
          </cell>
          <cell r="C29">
            <v>17242.52</v>
          </cell>
        </row>
        <row r="30">
          <cell r="B30">
            <v>7120</v>
          </cell>
          <cell r="C30">
            <v>4290</v>
          </cell>
        </row>
        <row r="31">
          <cell r="B31">
            <v>11894</v>
          </cell>
          <cell r="C31">
            <v>8514</v>
          </cell>
        </row>
        <row r="32">
          <cell r="B32">
            <v>2200</v>
          </cell>
          <cell r="C32">
            <v>0</v>
          </cell>
        </row>
        <row r="33">
          <cell r="B33">
            <v>3600</v>
          </cell>
          <cell r="C33">
            <v>3600</v>
          </cell>
        </row>
        <row r="34">
          <cell r="B34">
            <v>860</v>
          </cell>
          <cell r="C34">
            <v>770</v>
          </cell>
        </row>
        <row r="35">
          <cell r="B35">
            <v>3072</v>
          </cell>
          <cell r="C35">
            <v>2834</v>
          </cell>
        </row>
        <row r="36">
          <cell r="B36">
            <v>13896</v>
          </cell>
          <cell r="C36">
            <v>5820</v>
          </cell>
        </row>
        <row r="37">
          <cell r="B37">
            <v>2100</v>
          </cell>
          <cell r="C37">
            <v>1795</v>
          </cell>
        </row>
        <row r="38">
          <cell r="B38">
            <v>11000</v>
          </cell>
          <cell r="C38">
            <v>7018</v>
          </cell>
        </row>
        <row r="39">
          <cell r="B39">
            <v>19264</v>
          </cell>
          <cell r="C39">
            <v>16280</v>
          </cell>
        </row>
        <row r="40">
          <cell r="B40">
            <v>37202</v>
          </cell>
          <cell r="C40">
            <v>35111</v>
          </cell>
        </row>
        <row r="42">
          <cell r="B42">
            <v>3275</v>
          </cell>
          <cell r="C42">
            <v>2150</v>
          </cell>
        </row>
        <row r="43">
          <cell r="B43">
            <v>27620</v>
          </cell>
          <cell r="C43">
            <v>23622</v>
          </cell>
        </row>
        <row r="44">
          <cell r="B44">
            <v>9960</v>
          </cell>
          <cell r="C44">
            <v>9960</v>
          </cell>
        </row>
        <row r="45">
          <cell r="B45">
            <v>19638</v>
          </cell>
          <cell r="C45">
            <v>2934</v>
          </cell>
        </row>
        <row r="46">
          <cell r="B46">
            <v>960</v>
          </cell>
          <cell r="C46">
            <v>720</v>
          </cell>
        </row>
        <row r="47">
          <cell r="B47">
            <v>600</v>
          </cell>
          <cell r="C47">
            <v>0</v>
          </cell>
        </row>
        <row r="48">
          <cell r="B48">
            <v>4781.25</v>
          </cell>
          <cell r="C48">
            <v>2160</v>
          </cell>
        </row>
        <row r="49">
          <cell r="B49">
            <v>18112</v>
          </cell>
          <cell r="C49">
            <v>17868</v>
          </cell>
        </row>
        <row r="50">
          <cell r="B50">
            <v>9236</v>
          </cell>
          <cell r="C50">
            <v>9236</v>
          </cell>
        </row>
        <row r="52">
          <cell r="B52">
            <v>16500</v>
          </cell>
          <cell r="C52">
            <v>4890</v>
          </cell>
        </row>
        <row r="56">
          <cell r="B56">
            <v>8180</v>
          </cell>
          <cell r="C56">
            <v>8180</v>
          </cell>
        </row>
        <row r="57">
          <cell r="B57">
            <v>9000</v>
          </cell>
          <cell r="C57">
            <v>9000</v>
          </cell>
        </row>
        <row r="59">
          <cell r="B59">
            <v>1030</v>
          </cell>
          <cell r="C59">
            <v>390</v>
          </cell>
        </row>
        <row r="62">
          <cell r="B62">
            <v>1300</v>
          </cell>
          <cell r="C62">
            <v>1100</v>
          </cell>
        </row>
        <row r="65">
          <cell r="B65">
            <v>5380</v>
          </cell>
          <cell r="C65">
            <v>2880</v>
          </cell>
        </row>
        <row r="69">
          <cell r="B69">
            <v>5835</v>
          </cell>
          <cell r="C69">
            <v>5898</v>
          </cell>
        </row>
      </sheetData>
      <sheetData sheetId="2" refreshError="1"/>
      <sheetData sheetId="3">
        <row r="3">
          <cell r="C3">
            <v>430</v>
          </cell>
        </row>
        <row r="4">
          <cell r="C4">
            <v>43358</v>
          </cell>
        </row>
        <row r="5">
          <cell r="C5">
            <v>1408</v>
          </cell>
        </row>
        <row r="6">
          <cell r="C6">
            <v>7150</v>
          </cell>
        </row>
        <row r="7">
          <cell r="C7">
            <v>2024</v>
          </cell>
        </row>
        <row r="9">
          <cell r="C9">
            <v>800</v>
          </cell>
        </row>
        <row r="10">
          <cell r="C10">
            <v>14472</v>
          </cell>
        </row>
        <row r="11">
          <cell r="C11">
            <v>13897</v>
          </cell>
        </row>
        <row r="12">
          <cell r="C12">
            <v>11995.200000000004</v>
          </cell>
        </row>
        <row r="13">
          <cell r="C13">
            <v>984</v>
          </cell>
        </row>
        <row r="14">
          <cell r="C14">
            <v>5500</v>
          </cell>
        </row>
        <row r="15">
          <cell r="C15">
            <v>7280</v>
          </cell>
        </row>
        <row r="16">
          <cell r="C16">
            <v>2009.6000000000004</v>
          </cell>
        </row>
        <row r="17">
          <cell r="C17">
            <v>1044</v>
          </cell>
        </row>
        <row r="18">
          <cell r="C18">
            <v>3834.3999999999996</v>
          </cell>
        </row>
        <row r="19">
          <cell r="C19">
            <v>200</v>
          </cell>
        </row>
        <row r="20">
          <cell r="C20">
            <v>4712</v>
          </cell>
        </row>
        <row r="21">
          <cell r="C21">
            <v>2040</v>
          </cell>
        </row>
        <row r="22">
          <cell r="C22">
            <v>12928</v>
          </cell>
        </row>
        <row r="23">
          <cell r="C23">
            <v>2692</v>
          </cell>
        </row>
        <row r="24">
          <cell r="C24">
            <v>24380</v>
          </cell>
        </row>
        <row r="25">
          <cell r="C25">
            <v>2616</v>
          </cell>
        </row>
        <row r="26">
          <cell r="C26">
            <v>200</v>
          </cell>
        </row>
        <row r="27">
          <cell r="C27">
            <v>4781.25</v>
          </cell>
        </row>
        <row r="28">
          <cell r="C28">
            <v>6944</v>
          </cell>
        </row>
        <row r="35">
          <cell r="C35">
            <v>1480</v>
          </cell>
        </row>
        <row r="39">
          <cell r="C39">
            <v>3444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vot "/>
      <sheetName val="1"/>
      <sheetName val="pivot 2"/>
      <sheetName val="2"/>
      <sheetName val="table"/>
    </sheetNames>
    <sheetDataSet>
      <sheetData sheetId="0"/>
      <sheetData sheetId="1">
        <row r="2">
          <cell r="B2">
            <v>22000</v>
          </cell>
          <cell r="D2">
            <v>800</v>
          </cell>
        </row>
        <row r="5">
          <cell r="B5">
            <v>2000</v>
          </cell>
          <cell r="D5">
            <v>40</v>
          </cell>
        </row>
        <row r="6">
          <cell r="B6">
            <v>580</v>
          </cell>
          <cell r="D6">
            <v>0</v>
          </cell>
        </row>
        <row r="8">
          <cell r="B8">
            <v>500</v>
          </cell>
          <cell r="D8">
            <v>0</v>
          </cell>
        </row>
        <row r="9">
          <cell r="B9">
            <v>1000</v>
          </cell>
          <cell r="D9">
            <v>1000</v>
          </cell>
        </row>
        <row r="10">
          <cell r="B10">
            <v>7792</v>
          </cell>
          <cell r="D10">
            <v>3722</v>
          </cell>
        </row>
        <row r="11">
          <cell r="B11">
            <v>2330</v>
          </cell>
          <cell r="D11">
            <v>1980</v>
          </cell>
        </row>
        <row r="12">
          <cell r="B12">
            <v>15000</v>
          </cell>
          <cell r="D12">
            <v>0</v>
          </cell>
        </row>
        <row r="13">
          <cell r="B13">
            <v>1500</v>
          </cell>
          <cell r="C13">
            <v>250</v>
          </cell>
          <cell r="D13">
            <v>200</v>
          </cell>
        </row>
        <row r="14">
          <cell r="B14">
            <v>4000</v>
          </cell>
          <cell r="D14">
            <v>3000</v>
          </cell>
        </row>
        <row r="15">
          <cell r="B15">
            <v>4048</v>
          </cell>
          <cell r="D15">
            <v>0</v>
          </cell>
        </row>
        <row r="16">
          <cell r="B16">
            <v>1774</v>
          </cell>
          <cell r="D16">
            <v>1059</v>
          </cell>
        </row>
        <row r="17">
          <cell r="B17">
            <v>2000</v>
          </cell>
          <cell r="D17">
            <v>1600</v>
          </cell>
        </row>
        <row r="18">
          <cell r="B18">
            <v>8800</v>
          </cell>
          <cell r="D18">
            <v>6625</v>
          </cell>
        </row>
        <row r="19">
          <cell r="B19">
            <v>1500</v>
          </cell>
          <cell r="D19">
            <v>1000</v>
          </cell>
        </row>
        <row r="20">
          <cell r="B20">
            <v>4200</v>
          </cell>
          <cell r="C20">
            <v>1400</v>
          </cell>
          <cell r="D20">
            <v>2200</v>
          </cell>
        </row>
        <row r="21">
          <cell r="B21">
            <v>1200</v>
          </cell>
          <cell r="D21">
            <v>975</v>
          </cell>
        </row>
        <row r="22">
          <cell r="B22">
            <v>425</v>
          </cell>
          <cell r="D22">
            <v>425</v>
          </cell>
        </row>
        <row r="23">
          <cell r="B23">
            <v>2000</v>
          </cell>
          <cell r="C23">
            <v>500</v>
          </cell>
          <cell r="D23">
            <v>2000</v>
          </cell>
        </row>
        <row r="26">
          <cell r="B26">
            <v>500</v>
          </cell>
          <cell r="D26">
            <v>200</v>
          </cell>
        </row>
        <row r="27">
          <cell r="B27">
            <v>7700</v>
          </cell>
          <cell r="D27">
            <v>7700</v>
          </cell>
        </row>
        <row r="28">
          <cell r="B28">
            <v>4000</v>
          </cell>
          <cell r="D28">
            <v>425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4D6B-6363-4EA8-9D3E-C46E4FA260E7}">
  <sheetPr>
    <pageSetUpPr fitToPage="1"/>
  </sheetPr>
  <dimension ref="A1:K97"/>
  <sheetViews>
    <sheetView rightToLeft="1" tabSelected="1" view="pageBreakPreview" topLeftCell="A73" zoomScale="86" zoomScaleNormal="70" zoomScaleSheetLayoutView="86" workbookViewId="0">
      <selection activeCell="A50" sqref="A50:J50"/>
    </sheetView>
  </sheetViews>
  <sheetFormatPr defaultRowHeight="14.25"/>
  <cols>
    <col min="1" max="1" width="6.625" bestFit="1" customWidth="1"/>
    <col min="2" max="2" width="35.125" bestFit="1" customWidth="1"/>
    <col min="3" max="3" width="14" bestFit="1" customWidth="1"/>
    <col min="4" max="4" width="18" style="15" customWidth="1"/>
    <col min="5" max="5" width="13.25" style="16" bestFit="1" customWidth="1"/>
    <col min="6" max="6" width="14.125" style="15" bestFit="1" customWidth="1"/>
    <col min="7" max="7" width="13.25" style="16" bestFit="1" customWidth="1"/>
    <col min="8" max="8" width="14.125" style="17" bestFit="1" customWidth="1"/>
    <col min="9" max="9" width="19.5" style="18" bestFit="1" customWidth="1"/>
    <col min="10" max="10" width="24.25" style="18" customWidth="1"/>
    <col min="11" max="11" width="15.25" style="20" bestFit="1" customWidth="1"/>
  </cols>
  <sheetData>
    <row r="1" spans="1:11" ht="60" customHeight="1" thickTop="1" thickBot="1">
      <c r="A1" s="33" t="s">
        <v>93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ht="78" customHeight="1" thickTop="1" thickBot="1">
      <c r="A2" s="21" t="s">
        <v>0</v>
      </c>
      <c r="B2" s="21" t="s">
        <v>1</v>
      </c>
      <c r="C2" s="21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3" t="s">
        <v>7</v>
      </c>
      <c r="I2" s="24" t="s">
        <v>8</v>
      </c>
      <c r="J2" s="24" t="s">
        <v>9</v>
      </c>
      <c r="K2" s="22" t="s">
        <v>92</v>
      </c>
    </row>
    <row r="3" spans="1:11" ht="27.75" thickTop="1" thickBot="1">
      <c r="A3" s="36" t="s">
        <v>10</v>
      </c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ht="26.25" thickTop="1" thickBot="1">
      <c r="A4" s="1">
        <v>1</v>
      </c>
      <c r="B4" s="2" t="s">
        <v>11</v>
      </c>
      <c r="C4" s="3">
        <f>E4/D4</f>
        <v>0.52016699858435111</v>
      </c>
      <c r="D4" s="4">
        <f>'[1]1'!$B$10</f>
        <v>83354</v>
      </c>
      <c r="E4" s="5">
        <f>'[1]2'!$C$4</f>
        <v>43358</v>
      </c>
      <c r="F4" s="4">
        <f>'[1]1'!$C$10</f>
        <v>70503</v>
      </c>
      <c r="G4" s="5">
        <v>17823</v>
      </c>
      <c r="H4" s="3">
        <f>G4/E4</f>
        <v>0.41106600857973152</v>
      </c>
      <c r="I4" s="6">
        <v>8</v>
      </c>
      <c r="J4" s="6">
        <v>8</v>
      </c>
      <c r="K4" s="5">
        <f>(100+(100*((G4/E4)*(J4/I4))))/2*0.9</f>
        <v>63.497970386087921</v>
      </c>
    </row>
    <row r="5" spans="1:11" ht="26.25" thickTop="1" thickBot="1">
      <c r="A5" s="1">
        <v>2</v>
      </c>
      <c r="B5" s="2" t="s">
        <v>12</v>
      </c>
      <c r="C5" s="3">
        <f t="shared" ref="C5:C16" si="0">E5/D5</f>
        <v>3.7696335078534031E-2</v>
      </c>
      <c r="D5" s="4">
        <f>'[1]1'!$B$15+'[2]1'!$B$10</f>
        <v>46795</v>
      </c>
      <c r="E5" s="5">
        <v>1764</v>
      </c>
      <c r="F5" s="4">
        <f>'[1]1'!$C$15+'[2]1'!$D$10</f>
        <v>37154.6</v>
      </c>
      <c r="G5" s="5">
        <v>585</v>
      </c>
      <c r="H5" s="3">
        <f t="shared" ref="H5:H17" si="1">G5/E5</f>
        <v>0.33163265306122447</v>
      </c>
      <c r="I5" s="6">
        <v>14</v>
      </c>
      <c r="J5" s="6">
        <v>1</v>
      </c>
      <c r="K5" s="5">
        <f>((2*4)+(100*((G5/E5)*(J5/I5))))/2*0.8</f>
        <v>4.147521865889213</v>
      </c>
    </row>
    <row r="6" spans="1:11" ht="26.25" thickTop="1" thickBot="1">
      <c r="A6" s="1">
        <v>3</v>
      </c>
      <c r="B6" s="2" t="s">
        <v>13</v>
      </c>
      <c r="C6" s="3">
        <f t="shared" si="0"/>
        <v>0</v>
      </c>
      <c r="D6" s="4">
        <f>'[1]1'!$B$16+'[2]1'!$B$12</f>
        <v>18780</v>
      </c>
      <c r="E6" s="5">
        <v>0</v>
      </c>
      <c r="F6" s="4">
        <f>'[1]1'!$C$16+'[2]1'!$D$12</f>
        <v>2440</v>
      </c>
      <c r="G6" s="5">
        <v>0</v>
      </c>
      <c r="H6" s="3">
        <v>0</v>
      </c>
      <c r="I6" s="6">
        <v>3</v>
      </c>
      <c r="J6" s="6">
        <v>0</v>
      </c>
      <c r="K6" s="5">
        <v>0</v>
      </c>
    </row>
    <row r="7" spans="1:11" ht="26.25" thickTop="1" thickBot="1">
      <c r="A7" s="1">
        <v>4</v>
      </c>
      <c r="B7" s="2" t="s">
        <v>14</v>
      </c>
      <c r="C7" s="3">
        <f t="shared" si="0"/>
        <v>2.2344338979971842E-2</v>
      </c>
      <c r="D7" s="4">
        <f>'[1]1'!$B$23</f>
        <v>44038</v>
      </c>
      <c r="E7" s="5">
        <f>'[1]2'!$C$13</f>
        <v>984</v>
      </c>
      <c r="F7" s="4">
        <f>'[1]1'!$C$23</f>
        <v>41812</v>
      </c>
      <c r="G7" s="5">
        <v>214</v>
      </c>
      <c r="H7" s="3">
        <f t="shared" si="1"/>
        <v>0.21747967479674796</v>
      </c>
      <c r="I7" s="6">
        <v>16</v>
      </c>
      <c r="J7" s="6">
        <v>8</v>
      </c>
      <c r="K7" s="5">
        <f>((2*2)+(100*((G7/E7)*(J7/I7))))/2*0.8</f>
        <v>5.949593495934959</v>
      </c>
    </row>
    <row r="8" spans="1:11" ht="26.25" thickTop="1" thickBot="1">
      <c r="A8" s="1">
        <v>5</v>
      </c>
      <c r="B8" s="2" t="s">
        <v>15</v>
      </c>
      <c r="C8" s="3">
        <f t="shared" si="0"/>
        <v>1</v>
      </c>
      <c r="D8" s="4">
        <f>'[1]1'!$B$26</f>
        <v>2009.6000000000004</v>
      </c>
      <c r="E8" s="5">
        <f>'[1]2'!$C$16</f>
        <v>2009.6000000000004</v>
      </c>
      <c r="F8" s="4">
        <f>'[1]1'!$C$26</f>
        <v>185.8</v>
      </c>
      <c r="G8" s="5">
        <v>0</v>
      </c>
      <c r="H8" s="3">
        <f t="shared" si="1"/>
        <v>0</v>
      </c>
      <c r="I8" s="6">
        <v>4</v>
      </c>
      <c r="J8" s="6">
        <v>4</v>
      </c>
      <c r="K8" s="5">
        <f>(100+(100*((G8/E8)*(J8/I8))))/2</f>
        <v>50</v>
      </c>
    </row>
    <row r="9" spans="1:11" ht="26.25" thickTop="1" thickBot="1">
      <c r="A9" s="1">
        <v>6</v>
      </c>
      <c r="B9" s="2" t="s">
        <v>16</v>
      </c>
      <c r="C9" s="3">
        <f t="shared" si="0"/>
        <v>0</v>
      </c>
      <c r="D9" s="4">
        <f>'[1]1'!$B$35</f>
        <v>3072</v>
      </c>
      <c r="E9" s="5">
        <v>0</v>
      </c>
      <c r="F9" s="4">
        <f>'[1]1'!$C$35</f>
        <v>2834</v>
      </c>
      <c r="G9" s="5">
        <v>0</v>
      </c>
      <c r="H9" s="3">
        <v>0</v>
      </c>
      <c r="I9" s="6">
        <v>8</v>
      </c>
      <c r="J9" s="6">
        <v>0</v>
      </c>
      <c r="K9" s="5">
        <v>0</v>
      </c>
    </row>
    <row r="10" spans="1:11" ht="26.25" thickTop="1" thickBot="1">
      <c r="A10" s="1">
        <v>7</v>
      </c>
      <c r="B10" s="2" t="s">
        <v>17</v>
      </c>
      <c r="C10" s="3">
        <f t="shared" si="0"/>
        <v>0.61930845600821638</v>
      </c>
      <c r="D10" s="4">
        <f>'[1]1'!$B$18+'[2]1'!$B$15</f>
        <v>23368</v>
      </c>
      <c r="E10" s="5">
        <f>'[1]2'!$C$10</f>
        <v>14472</v>
      </c>
      <c r="F10" s="4">
        <f>'[1]1'!$C$18+'[2]1'!$D$15</f>
        <v>18936</v>
      </c>
      <c r="G10" s="5">
        <v>3096</v>
      </c>
      <c r="H10" s="3">
        <f t="shared" si="1"/>
        <v>0.21393034825870647</v>
      </c>
      <c r="I10" s="6">
        <v>3</v>
      </c>
      <c r="J10" s="6">
        <v>1</v>
      </c>
      <c r="K10" s="5">
        <f>(100+(100*((G10/E10)*(J10/I10))))/2</f>
        <v>53.565505804311776</v>
      </c>
    </row>
    <row r="11" spans="1:11" ht="26.25" thickTop="1" thickBot="1">
      <c r="A11" s="1">
        <v>8</v>
      </c>
      <c r="B11" s="2" t="s">
        <v>18</v>
      </c>
      <c r="C11" s="3">
        <f t="shared" si="0"/>
        <v>0</v>
      </c>
      <c r="D11" s="4">
        <f>'[1]1'!$B$46</f>
        <v>960</v>
      </c>
      <c r="E11" s="5">
        <v>0</v>
      </c>
      <c r="F11" s="4">
        <f>'[1]1'!$C$46</f>
        <v>720</v>
      </c>
      <c r="G11" s="5">
        <v>0</v>
      </c>
      <c r="H11" s="3">
        <v>0</v>
      </c>
      <c r="I11" s="6">
        <v>2</v>
      </c>
      <c r="J11" s="6">
        <v>0</v>
      </c>
      <c r="K11" s="5">
        <v>0</v>
      </c>
    </row>
    <row r="12" spans="1:11" ht="26.25" thickTop="1" thickBot="1">
      <c r="A12" s="1">
        <v>9</v>
      </c>
      <c r="B12" s="2" t="s">
        <v>19</v>
      </c>
      <c r="C12" s="3">
        <f t="shared" si="0"/>
        <v>0.14193548387096774</v>
      </c>
      <c r="D12" s="4">
        <f>'[1]1'!$B$14</f>
        <v>14260</v>
      </c>
      <c r="E12" s="5">
        <f>'[1]2'!$C$7</f>
        <v>2024</v>
      </c>
      <c r="F12" s="4">
        <f>'[1]1'!$C$14</f>
        <v>14418</v>
      </c>
      <c r="G12" s="5">
        <v>1672</v>
      </c>
      <c r="H12" s="3">
        <f t="shared" si="1"/>
        <v>0.82608695652173914</v>
      </c>
      <c r="I12" s="6">
        <v>2</v>
      </c>
      <c r="J12" s="6">
        <v>2</v>
      </c>
      <c r="K12" s="5">
        <f>((2*14)+(100*((G12/E12)*(J12/I12))))/2*0.8</f>
        <v>44.243478260869566</v>
      </c>
    </row>
    <row r="13" spans="1:11" ht="26.25" thickTop="1" thickBot="1">
      <c r="A13" s="1">
        <v>10</v>
      </c>
      <c r="B13" s="2" t="s">
        <v>20</v>
      </c>
      <c r="C13" s="3">
        <v>0</v>
      </c>
      <c r="D13" s="4">
        <f>'[1]1'!$B$9</f>
        <v>430</v>
      </c>
      <c r="E13" s="5">
        <f>'[1]2'!$C$3</f>
        <v>430</v>
      </c>
      <c r="F13" s="4">
        <f>'[1]1'!$C$9</f>
        <v>40</v>
      </c>
      <c r="G13" s="5">
        <v>0</v>
      </c>
      <c r="H13" s="3">
        <v>0</v>
      </c>
      <c r="I13" s="6">
        <v>1</v>
      </c>
      <c r="J13" s="6">
        <v>0</v>
      </c>
      <c r="K13" s="5">
        <v>0</v>
      </c>
    </row>
    <row r="14" spans="1:11" ht="26.25" thickTop="1" thickBot="1">
      <c r="A14" s="1">
        <v>11</v>
      </c>
      <c r="B14" s="2" t="s">
        <v>21</v>
      </c>
      <c r="C14" s="3">
        <f t="shared" si="0"/>
        <v>0.27509293680297398</v>
      </c>
      <c r="D14" s="4">
        <f>'[1]1'!$B$65</f>
        <v>5380</v>
      </c>
      <c r="E14" s="5">
        <f>'[1]2'!$C$35</f>
        <v>1480</v>
      </c>
      <c r="F14" s="4">
        <f>'[1]1'!$C$65</f>
        <v>2880</v>
      </c>
      <c r="G14" s="5">
        <v>720</v>
      </c>
      <c r="H14" s="3">
        <f t="shared" si="1"/>
        <v>0.48648648648648651</v>
      </c>
      <c r="I14" s="6">
        <v>2</v>
      </c>
      <c r="J14" s="6">
        <v>2</v>
      </c>
      <c r="K14" s="5">
        <f>(65+(100*((G14/E14)*(J14/I14))))/2</f>
        <v>56.824324324324323</v>
      </c>
    </row>
    <row r="15" spans="1:11" ht="26.25" thickTop="1" thickBot="1">
      <c r="A15" s="1">
        <v>12</v>
      </c>
      <c r="B15" s="2" t="s">
        <v>22</v>
      </c>
      <c r="C15" s="3">
        <f t="shared" si="0"/>
        <v>0</v>
      </c>
      <c r="D15" s="4">
        <f>'[2]1'!$B$2</f>
        <v>22000</v>
      </c>
      <c r="E15" s="4">
        <v>0</v>
      </c>
      <c r="F15" s="4">
        <f>'[2]1'!$D$2</f>
        <v>800</v>
      </c>
      <c r="G15" s="5">
        <v>0</v>
      </c>
      <c r="H15" s="3">
        <v>0</v>
      </c>
      <c r="I15" s="6">
        <v>2</v>
      </c>
      <c r="J15" s="6">
        <v>0</v>
      </c>
      <c r="K15" s="5">
        <v>0</v>
      </c>
    </row>
    <row r="16" spans="1:11" ht="26.25" thickTop="1" thickBot="1">
      <c r="A16" s="1">
        <v>13</v>
      </c>
      <c r="B16" s="2" t="s">
        <v>94</v>
      </c>
      <c r="C16" s="3">
        <f t="shared" si="0"/>
        <v>0.33333333333333331</v>
      </c>
      <c r="D16" s="4">
        <f>'[1]1'!$B$47</f>
        <v>600</v>
      </c>
      <c r="E16" s="4">
        <f>'[1]2'!$C$26</f>
        <v>200</v>
      </c>
      <c r="F16" s="4">
        <f>'[1]1'!$C$47</f>
        <v>0</v>
      </c>
      <c r="G16" s="5">
        <v>0</v>
      </c>
      <c r="H16" s="3">
        <v>0</v>
      </c>
      <c r="I16" s="6">
        <v>1</v>
      </c>
      <c r="J16" s="6">
        <v>1</v>
      </c>
      <c r="K16" s="5">
        <v>0</v>
      </c>
    </row>
    <row r="17" spans="1:11" ht="31.5" thickTop="1" thickBot="1">
      <c r="A17" s="32" t="s">
        <v>23</v>
      </c>
      <c r="B17" s="32"/>
      <c r="C17" s="8">
        <f>E17/D17</f>
        <v>0.25173535521678081</v>
      </c>
      <c r="D17" s="9">
        <f>SUM(D4:D16)</f>
        <v>265046.59999999998</v>
      </c>
      <c r="E17" s="5">
        <f>SUM(E4:E16)</f>
        <v>66721.600000000006</v>
      </c>
      <c r="F17" s="9">
        <f>SUM(F4:F16)</f>
        <v>192723.4</v>
      </c>
      <c r="G17" s="5">
        <f>SUM(G4:G16)</f>
        <v>24110</v>
      </c>
      <c r="H17" s="3">
        <f t="shared" si="1"/>
        <v>0.36135224574950237</v>
      </c>
      <c r="I17" s="10">
        <f>SUM(I4:I16)</f>
        <v>66</v>
      </c>
      <c r="J17" s="10">
        <f>SUM(J4:J16)</f>
        <v>27</v>
      </c>
      <c r="K17" s="5">
        <f>(50+(100*((G17/E17)*(J17/I17))))/2*0.9</f>
        <v>29.152166342206751</v>
      </c>
    </row>
    <row r="18" spans="1:11" ht="26.25" customHeight="1" thickTop="1" thickBot="1">
      <c r="A18" s="39"/>
      <c r="B18" s="40"/>
      <c r="C18" s="40"/>
      <c r="D18" s="40"/>
      <c r="E18" s="40"/>
      <c r="F18" s="40"/>
      <c r="G18" s="40"/>
      <c r="H18" s="40"/>
      <c r="I18" s="40"/>
      <c r="J18" s="41"/>
      <c r="K18" s="19"/>
    </row>
    <row r="19" spans="1:11" ht="27.75" thickTop="1" thickBot="1">
      <c r="A19" s="36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8"/>
    </row>
    <row r="20" spans="1:11" ht="26.25" thickTop="1" thickBot="1">
      <c r="A20" s="1">
        <v>14</v>
      </c>
      <c r="B20" s="7" t="s">
        <v>25</v>
      </c>
      <c r="C20" s="3">
        <f t="shared" ref="C20:C25" si="2">E20/D20</f>
        <v>0</v>
      </c>
      <c r="D20" s="4">
        <f>'[1]1'!$B$19</f>
        <v>4000</v>
      </c>
      <c r="E20" s="5">
        <v>0</v>
      </c>
      <c r="F20" s="4">
        <f>'[1]1'!$C$19</f>
        <v>3100</v>
      </c>
      <c r="G20" s="5">
        <v>0</v>
      </c>
      <c r="H20" s="3">
        <v>0</v>
      </c>
      <c r="I20" s="6">
        <v>1</v>
      </c>
      <c r="J20" s="6">
        <v>0</v>
      </c>
      <c r="K20" s="5">
        <v>0</v>
      </c>
    </row>
    <row r="21" spans="1:11" ht="26.25" thickTop="1" thickBot="1">
      <c r="A21" s="1">
        <v>15</v>
      </c>
      <c r="B21" s="7" t="s">
        <v>26</v>
      </c>
      <c r="C21" s="3">
        <v>0</v>
      </c>
      <c r="D21" s="4">
        <f>'[1]1'!$B$37</f>
        <v>2100</v>
      </c>
      <c r="E21" s="5">
        <v>0</v>
      </c>
      <c r="F21" s="4">
        <f>'[1]1'!$C$37</f>
        <v>1795</v>
      </c>
      <c r="G21" s="5">
        <v>0</v>
      </c>
      <c r="H21" s="3">
        <v>0</v>
      </c>
      <c r="I21" s="6">
        <v>2</v>
      </c>
      <c r="J21" s="6">
        <v>0</v>
      </c>
      <c r="K21" s="5">
        <v>0</v>
      </c>
    </row>
    <row r="22" spans="1:11" ht="26.25" thickTop="1" thickBot="1">
      <c r="A22" s="1">
        <v>16</v>
      </c>
      <c r="B22" s="7" t="s">
        <v>27</v>
      </c>
      <c r="C22" s="3">
        <f t="shared" si="2"/>
        <v>2.8089887640449437E-2</v>
      </c>
      <c r="D22" s="4">
        <f>'[1]1'!$B$30</f>
        <v>7120</v>
      </c>
      <c r="E22" s="5">
        <f>'[1]2'!$C$19</f>
        <v>200</v>
      </c>
      <c r="F22" s="4">
        <f>'[1]1'!$C$30</f>
        <v>4290</v>
      </c>
      <c r="G22" s="5">
        <v>0</v>
      </c>
      <c r="H22" s="3">
        <f t="shared" ref="H22:H25" si="3">G22/E22</f>
        <v>0</v>
      </c>
      <c r="I22" s="6">
        <v>5</v>
      </c>
      <c r="J22" s="6">
        <v>1</v>
      </c>
      <c r="K22" s="5">
        <f>((2*3)+(100*((G22/E22)*(J22/I22))))/2*0.8</f>
        <v>2.4000000000000004</v>
      </c>
    </row>
    <row r="23" spans="1:11" ht="26.25" thickTop="1" thickBot="1">
      <c r="A23" s="1">
        <v>17</v>
      </c>
      <c r="B23" s="7" t="s">
        <v>28</v>
      </c>
      <c r="C23" s="3">
        <f t="shared" si="2"/>
        <v>1</v>
      </c>
      <c r="D23" s="4">
        <f>'[2]1'!$B$18</f>
        <v>8800</v>
      </c>
      <c r="E23" s="4">
        <v>8800</v>
      </c>
      <c r="F23" s="4">
        <f>'[2]1'!$D$18</f>
        <v>6625</v>
      </c>
      <c r="G23" s="5">
        <v>3025</v>
      </c>
      <c r="H23" s="3">
        <f t="shared" si="3"/>
        <v>0.34375</v>
      </c>
      <c r="I23" s="6">
        <v>1</v>
      </c>
      <c r="J23" s="6">
        <v>1</v>
      </c>
      <c r="K23" s="5">
        <f>(100+(100*((G23/E23)*(J23/I23))))/2*0.9</f>
        <v>60.46875</v>
      </c>
    </row>
    <row r="24" spans="1:11" ht="26.25" thickTop="1" thickBot="1">
      <c r="A24" s="1">
        <v>18</v>
      </c>
      <c r="B24" s="7" t="s">
        <v>29</v>
      </c>
      <c r="C24" s="3">
        <f t="shared" si="2"/>
        <v>0.57404271138832663</v>
      </c>
      <c r="D24" s="4">
        <f>'[1]1'!$B$21+'[2]1'!$B$16</f>
        <v>24209</v>
      </c>
      <c r="E24" s="5">
        <f>'[1]2'!$C$11</f>
        <v>13897</v>
      </c>
      <c r="F24" s="4">
        <f>'[1]1'!$C$21+'[2]1'!$D$16</f>
        <v>18443</v>
      </c>
      <c r="G24" s="5">
        <v>2405</v>
      </c>
      <c r="H24" s="3">
        <f t="shared" si="3"/>
        <v>0.17305893358278765</v>
      </c>
      <c r="I24" s="6">
        <v>18</v>
      </c>
      <c r="J24" s="6">
        <v>4</v>
      </c>
      <c r="K24" s="5">
        <f>(100+(100*((G24/E24)*(J24/I24))))/2*0.9</f>
        <v>46.730589335827879</v>
      </c>
    </row>
    <row r="25" spans="1:11" ht="31.5" thickTop="1" thickBot="1">
      <c r="A25" s="32" t="s">
        <v>30</v>
      </c>
      <c r="B25" s="32"/>
      <c r="C25" s="8">
        <f t="shared" si="2"/>
        <v>0.49529516104609661</v>
      </c>
      <c r="D25" s="9">
        <f>SUM(D20:D24)</f>
        <v>46229</v>
      </c>
      <c r="E25" s="5">
        <f>SUM(E20:E24)</f>
        <v>22897</v>
      </c>
      <c r="F25" s="9">
        <f>SUM(F20:F24)</f>
        <v>34253</v>
      </c>
      <c r="G25" s="5">
        <f>SUM(G20:G24)</f>
        <v>5430</v>
      </c>
      <c r="H25" s="3">
        <f t="shared" si="3"/>
        <v>0.23714897148098005</v>
      </c>
      <c r="I25" s="10">
        <f>SUM(I20:I24)</f>
        <v>27</v>
      </c>
      <c r="J25" s="10">
        <f>SUM(J20:J24)</f>
        <v>6</v>
      </c>
      <c r="K25" s="5">
        <f>(100+(100*((G25/E25)*(J25/I25))))/2*0.9</f>
        <v>47.371489714809805</v>
      </c>
    </row>
    <row r="26" spans="1:11" ht="27.75" thickTop="1" thickBot="1">
      <c r="A26" s="42"/>
      <c r="B26" s="43"/>
      <c r="C26" s="43"/>
      <c r="D26" s="43"/>
      <c r="E26" s="43"/>
      <c r="F26" s="43"/>
      <c r="G26" s="43"/>
      <c r="H26" s="43"/>
      <c r="I26" s="43"/>
      <c r="J26" s="44"/>
      <c r="K26" s="19"/>
    </row>
    <row r="27" spans="1:11" ht="27.75" thickTop="1" thickBot="1">
      <c r="A27" s="36" t="s">
        <v>31</v>
      </c>
      <c r="B27" s="37"/>
      <c r="C27" s="37"/>
      <c r="D27" s="37"/>
      <c r="E27" s="37"/>
      <c r="F27" s="37"/>
      <c r="G27" s="37"/>
      <c r="H27" s="37"/>
      <c r="I27" s="37"/>
      <c r="J27" s="37"/>
      <c r="K27" s="38"/>
    </row>
    <row r="28" spans="1:11" ht="26.25" thickTop="1" thickBot="1">
      <c r="A28" s="11">
        <v>19</v>
      </c>
      <c r="B28" s="7" t="s">
        <v>32</v>
      </c>
      <c r="C28" s="3">
        <f t="shared" ref="C28:C34" si="4">E28/D28</f>
        <v>0.3961661341853035</v>
      </c>
      <c r="D28" s="4">
        <f>'[1]1'!$B$31</f>
        <v>11894</v>
      </c>
      <c r="E28" s="5">
        <f>'[1]2'!$C$20</f>
        <v>4712</v>
      </c>
      <c r="F28" s="4">
        <f>'[1]1'!$C$31</f>
        <v>8514</v>
      </c>
      <c r="G28" s="5">
        <v>3558</v>
      </c>
      <c r="H28" s="3">
        <f t="shared" ref="H28:H34" si="5">G28/E28</f>
        <v>0.7550933786078099</v>
      </c>
      <c r="I28" s="6">
        <v>1</v>
      </c>
      <c r="J28" s="6">
        <v>1</v>
      </c>
      <c r="K28" s="5">
        <f>(80+(100*((G28/E28)*(J28/I28))))/2*0.9</f>
        <v>69.979202037351442</v>
      </c>
    </row>
    <row r="29" spans="1:11" ht="26.25" thickTop="1" thickBot="1">
      <c r="A29" s="11">
        <v>20</v>
      </c>
      <c r="B29" s="7" t="s">
        <v>33</v>
      </c>
      <c r="C29" s="3">
        <v>0</v>
      </c>
      <c r="D29" s="4">
        <f>'[1]1'!$B$32</f>
        <v>2200</v>
      </c>
      <c r="E29" s="5">
        <v>0</v>
      </c>
      <c r="F29" s="4">
        <f>'[1]1'!$C$32</f>
        <v>0</v>
      </c>
      <c r="G29" s="5">
        <v>0</v>
      </c>
      <c r="H29" s="3">
        <v>0</v>
      </c>
      <c r="I29" s="6">
        <v>1</v>
      </c>
      <c r="J29" s="6">
        <v>0</v>
      </c>
      <c r="K29" s="5">
        <v>0</v>
      </c>
    </row>
    <row r="30" spans="1:11" ht="26.25" thickTop="1" thickBot="1">
      <c r="A30" s="11">
        <v>21</v>
      </c>
      <c r="B30" s="7" t="s">
        <v>34</v>
      </c>
      <c r="C30" s="3">
        <f t="shared" si="4"/>
        <v>0</v>
      </c>
      <c r="D30" s="4">
        <f>'[1]1'!$B$33</f>
        <v>3600</v>
      </c>
      <c r="E30" s="5">
        <v>0</v>
      </c>
      <c r="F30" s="4">
        <f>'[1]1'!$C$33</f>
        <v>3600</v>
      </c>
      <c r="G30" s="5">
        <v>0</v>
      </c>
      <c r="H30" s="3">
        <v>0</v>
      </c>
      <c r="I30" s="6">
        <v>1</v>
      </c>
      <c r="J30" s="6">
        <v>0</v>
      </c>
      <c r="K30" s="5">
        <v>0</v>
      </c>
    </row>
    <row r="31" spans="1:11" ht="26.25" thickTop="1" thickBot="1">
      <c r="A31" s="11">
        <v>22</v>
      </c>
      <c r="B31" s="7" t="s">
        <v>35</v>
      </c>
      <c r="C31" s="3">
        <v>0</v>
      </c>
      <c r="D31" s="4">
        <f>'[1]1'!$B$8</f>
        <v>90</v>
      </c>
      <c r="E31" s="5">
        <v>0</v>
      </c>
      <c r="F31" s="4">
        <f>'[1]1'!$C$8</f>
        <v>90</v>
      </c>
      <c r="G31" s="5">
        <v>0</v>
      </c>
      <c r="H31" s="3">
        <v>0</v>
      </c>
      <c r="I31" s="6">
        <v>1</v>
      </c>
      <c r="J31" s="6">
        <v>0</v>
      </c>
      <c r="K31" s="5">
        <v>0</v>
      </c>
    </row>
    <row r="32" spans="1:11" ht="26.25" thickTop="1" thickBot="1">
      <c r="A32" s="11">
        <v>23</v>
      </c>
      <c r="B32" s="7" t="s">
        <v>36</v>
      </c>
      <c r="C32" s="3">
        <f t="shared" si="4"/>
        <v>0.93814432989690721</v>
      </c>
      <c r="D32" s="4">
        <f>'[1]1'!$B$25</f>
        <v>7760</v>
      </c>
      <c r="E32" s="5">
        <f>'[1]2'!$C$15</f>
        <v>7280</v>
      </c>
      <c r="F32" s="4">
        <f>'[1]1'!$C$25</f>
        <v>4730</v>
      </c>
      <c r="G32" s="5">
        <v>2105</v>
      </c>
      <c r="H32" s="3">
        <f t="shared" si="5"/>
        <v>0.28914835164835168</v>
      </c>
      <c r="I32" s="6">
        <v>4</v>
      </c>
      <c r="J32" s="6">
        <v>3</v>
      </c>
      <c r="K32" s="5">
        <f>(100+(100*((G32/E32)*(J32/I32))))/2*0.9</f>
        <v>54.758756868131869</v>
      </c>
    </row>
    <row r="33" spans="1:11" ht="26.25" thickTop="1" thickBot="1">
      <c r="A33" s="11">
        <v>24</v>
      </c>
      <c r="B33" s="7" t="s">
        <v>37</v>
      </c>
      <c r="C33" s="3">
        <f t="shared" si="4"/>
        <v>0</v>
      </c>
      <c r="D33" s="5">
        <f>'[2]1'!$B$20+'[2]1'!$C$20</f>
        <v>5600</v>
      </c>
      <c r="E33" s="5">
        <v>0</v>
      </c>
      <c r="F33" s="5">
        <f>'[2]1'!$D$20</f>
        <v>2200</v>
      </c>
      <c r="G33" s="5">
        <v>0</v>
      </c>
      <c r="H33" s="3">
        <v>0</v>
      </c>
      <c r="I33" s="10">
        <v>1</v>
      </c>
      <c r="J33" s="10">
        <v>0</v>
      </c>
      <c r="K33" s="5">
        <v>0</v>
      </c>
    </row>
    <row r="34" spans="1:11" ht="31.5" thickTop="1" thickBot="1">
      <c r="A34" s="32" t="s">
        <v>38</v>
      </c>
      <c r="B34" s="32"/>
      <c r="C34" s="8">
        <f t="shared" si="4"/>
        <v>0.38505008990495759</v>
      </c>
      <c r="D34" s="9">
        <f>SUM(D28:D33)</f>
        <v>31144</v>
      </c>
      <c r="E34" s="9">
        <f>SUM(E28:E33)</f>
        <v>11992</v>
      </c>
      <c r="F34" s="9">
        <f>SUM(F28:F33)</f>
        <v>19134</v>
      </c>
      <c r="G34" s="5">
        <f>SUM(G28:G33)</f>
        <v>5663</v>
      </c>
      <c r="H34" s="3">
        <f t="shared" si="5"/>
        <v>0.47223148765843898</v>
      </c>
      <c r="I34" s="10">
        <f>SUM(I28:I33)</f>
        <v>9</v>
      </c>
      <c r="J34" s="10">
        <f>SUM(J28:J33)</f>
        <v>4</v>
      </c>
      <c r="K34" s="5">
        <f>(80+(100*((G34/E34)*(J34/I34))))/2*0.9</f>
        <v>45.444629753168783</v>
      </c>
    </row>
    <row r="35" spans="1:11" s="12" customFormat="1" ht="26.25" customHeight="1" thickTop="1" thickBot="1">
      <c r="A35" s="45"/>
      <c r="B35" s="46"/>
      <c r="C35" s="46"/>
      <c r="D35" s="46"/>
      <c r="E35" s="46"/>
      <c r="F35" s="46"/>
      <c r="G35" s="46"/>
      <c r="H35" s="46"/>
      <c r="I35" s="46"/>
      <c r="J35" s="47"/>
      <c r="K35" s="5"/>
    </row>
    <row r="36" spans="1:11" ht="27.75" thickTop="1" thickBot="1">
      <c r="A36" s="36" t="s">
        <v>39</v>
      </c>
      <c r="B36" s="37"/>
      <c r="C36" s="37"/>
      <c r="D36" s="37"/>
      <c r="E36" s="37"/>
      <c r="F36" s="37"/>
      <c r="G36" s="37"/>
      <c r="H36" s="37"/>
      <c r="I36" s="37"/>
      <c r="J36" s="37"/>
      <c r="K36" s="38"/>
    </row>
    <row r="37" spans="1:11" ht="26.25" thickTop="1" thickBot="1">
      <c r="A37" s="11">
        <v>25</v>
      </c>
      <c r="B37" s="13" t="s">
        <v>40</v>
      </c>
      <c r="C37" s="3">
        <v>0</v>
      </c>
      <c r="D37" s="5">
        <f>'[2]1'!$B$21</f>
        <v>1200</v>
      </c>
      <c r="E37" s="5">
        <v>0</v>
      </c>
      <c r="F37" s="5">
        <f>'[2]1'!$D$21</f>
        <v>975</v>
      </c>
      <c r="G37" s="5">
        <v>0</v>
      </c>
      <c r="H37" s="3">
        <v>0</v>
      </c>
      <c r="I37" s="10">
        <v>1</v>
      </c>
      <c r="J37" s="10">
        <v>0</v>
      </c>
      <c r="K37" s="5">
        <v>0</v>
      </c>
    </row>
    <row r="38" spans="1:11" ht="26.25" thickTop="1" thickBot="1">
      <c r="A38" s="11">
        <v>26</v>
      </c>
      <c r="B38" s="7" t="s">
        <v>41</v>
      </c>
      <c r="C38" s="3">
        <f t="shared" ref="C38:C39" si="6">E38/D38</f>
        <v>0</v>
      </c>
      <c r="D38" s="5">
        <f>'[2]1'!$B$11</f>
        <v>2330</v>
      </c>
      <c r="E38" s="5">
        <v>0</v>
      </c>
      <c r="F38" s="5">
        <f>'[2]1'!$D$11</f>
        <v>1980</v>
      </c>
      <c r="G38" s="5">
        <v>0</v>
      </c>
      <c r="H38" s="3">
        <v>0</v>
      </c>
      <c r="I38" s="6">
        <v>2</v>
      </c>
      <c r="J38" s="6">
        <v>0</v>
      </c>
      <c r="K38" s="5">
        <v>0</v>
      </c>
    </row>
    <row r="39" spans="1:11" ht="31.5" thickTop="1" thickBot="1">
      <c r="A39" s="32" t="s">
        <v>42</v>
      </c>
      <c r="B39" s="32"/>
      <c r="C39" s="8">
        <f t="shared" si="6"/>
        <v>0</v>
      </c>
      <c r="D39" s="9">
        <f>SUM(D37:D38)</f>
        <v>3530</v>
      </c>
      <c r="E39" s="5">
        <f>SUM(E37:E38)</f>
        <v>0</v>
      </c>
      <c r="F39" s="9">
        <f>SUM(F37:F38)</f>
        <v>2955</v>
      </c>
      <c r="G39" s="5">
        <f>SUM(G37:G38)</f>
        <v>0</v>
      </c>
      <c r="H39" s="3">
        <v>0</v>
      </c>
      <c r="I39" s="10">
        <f>SUM(I37:I38)</f>
        <v>3</v>
      </c>
      <c r="J39" s="10">
        <v>0</v>
      </c>
      <c r="K39" s="5">
        <v>0</v>
      </c>
    </row>
    <row r="40" spans="1:11" ht="27.75" thickTop="1" thickBot="1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19"/>
    </row>
    <row r="41" spans="1:11" ht="27.75" thickTop="1" thickBot="1">
      <c r="A41" s="36" t="s">
        <v>43</v>
      </c>
      <c r="B41" s="37"/>
      <c r="C41" s="37"/>
      <c r="D41" s="37"/>
      <c r="E41" s="37"/>
      <c r="F41" s="37"/>
      <c r="G41" s="37"/>
      <c r="H41" s="37"/>
      <c r="I41" s="37"/>
      <c r="J41" s="37"/>
      <c r="K41" s="38"/>
    </row>
    <row r="42" spans="1:11" ht="26.25" thickTop="1" thickBot="1">
      <c r="A42" s="11">
        <v>27</v>
      </c>
      <c r="B42" s="13" t="s">
        <v>44</v>
      </c>
      <c r="C42" s="3">
        <f t="shared" ref="C42:C49" si="7">E42/D42</f>
        <v>0.75184062364660031</v>
      </c>
      <c r="D42" s="4">
        <f>'[1]1'!$B$50</f>
        <v>9236</v>
      </c>
      <c r="E42" s="9">
        <f>'[1]2'!$C$28</f>
        <v>6944</v>
      </c>
      <c r="F42" s="4">
        <f>'[1]1'!$C$50</f>
        <v>9236</v>
      </c>
      <c r="G42" s="5">
        <v>2112</v>
      </c>
      <c r="H42" s="3">
        <f t="shared" ref="H42:H46" si="8">G42/E42</f>
        <v>0.30414746543778803</v>
      </c>
      <c r="I42" s="10">
        <v>2</v>
      </c>
      <c r="J42" s="10">
        <v>2</v>
      </c>
      <c r="K42" s="5">
        <f>(100+(100*((G42/E42)*(J42/I42))))/2*0.9</f>
        <v>58.686635944700456</v>
      </c>
    </row>
    <row r="43" spans="1:11" ht="26.25" thickTop="1" thickBot="1">
      <c r="A43" s="11">
        <v>28</v>
      </c>
      <c r="B43" s="13" t="s">
        <v>45</v>
      </c>
      <c r="C43" s="3">
        <f t="shared" si="7"/>
        <v>0.14680483592400692</v>
      </c>
      <c r="D43" s="4">
        <f>'[1]1'!$B$36</f>
        <v>13896</v>
      </c>
      <c r="E43" s="9">
        <f>'[1]2'!$C$21</f>
        <v>2040</v>
      </c>
      <c r="F43" s="4">
        <f>'[1]1'!$C$36</f>
        <v>5820</v>
      </c>
      <c r="G43" s="5">
        <v>240</v>
      </c>
      <c r="H43" s="3">
        <f t="shared" si="8"/>
        <v>0.11764705882352941</v>
      </c>
      <c r="I43" s="10">
        <v>3</v>
      </c>
      <c r="J43" s="10">
        <v>2</v>
      </c>
      <c r="K43" s="5">
        <f>((2*15)+(100*((G43/E43)*(J43/I43))))/2*0.8</f>
        <v>15.137254901960786</v>
      </c>
    </row>
    <row r="44" spans="1:11" ht="26.25" thickTop="1" thickBot="1">
      <c r="A44" s="11">
        <v>29</v>
      </c>
      <c r="B44" s="13" t="s">
        <v>46</v>
      </c>
      <c r="C44" s="3">
        <f t="shared" si="7"/>
        <v>0.86931716883579957</v>
      </c>
      <c r="D44" s="4">
        <f>'[1]1'!$B$43+'[2]1'!$B$22</f>
        <v>28045</v>
      </c>
      <c r="E44" s="9">
        <f>'[1]2'!$C$24</f>
        <v>24380</v>
      </c>
      <c r="F44" s="4">
        <f>'[1]1'!$C$43+'[2]1'!$D$22</f>
        <v>24047</v>
      </c>
      <c r="G44" s="5">
        <v>4568</v>
      </c>
      <c r="H44" s="3">
        <f t="shared" si="8"/>
        <v>0.18736669401148481</v>
      </c>
      <c r="I44" s="10">
        <v>6</v>
      </c>
      <c r="J44" s="10">
        <v>5</v>
      </c>
      <c r="K44" s="5">
        <f>((100+(100*((G44/E44)*(J44/I44))))/2)*0.9</f>
        <v>52.026251025430682</v>
      </c>
    </row>
    <row r="45" spans="1:11" ht="26.25" thickTop="1" thickBot="1">
      <c r="A45" s="11">
        <v>30</v>
      </c>
      <c r="B45" s="13" t="s">
        <v>47</v>
      </c>
      <c r="C45" s="3">
        <f t="shared" si="7"/>
        <v>0.1332111212954476</v>
      </c>
      <c r="D45" s="4">
        <f>'[1]1'!$B$45</f>
        <v>19638</v>
      </c>
      <c r="E45" s="9">
        <f>'[1]2'!$C$25</f>
        <v>2616</v>
      </c>
      <c r="F45" s="4">
        <f>'[1]1'!$C$45</f>
        <v>2934</v>
      </c>
      <c r="G45" s="5">
        <v>120</v>
      </c>
      <c r="H45" s="3">
        <f t="shared" si="8"/>
        <v>4.5871559633027525E-2</v>
      </c>
      <c r="I45" s="10">
        <v>6</v>
      </c>
      <c r="J45" s="10">
        <v>3</v>
      </c>
      <c r="K45" s="5">
        <f>((2*13)+(100*((G45/E45)*(J45/I45))))/2*0.8</f>
        <v>11.31743119266055</v>
      </c>
    </row>
    <row r="46" spans="1:11" ht="26.25" thickTop="1" thickBot="1">
      <c r="A46" s="11">
        <v>31</v>
      </c>
      <c r="B46" s="13" t="s">
        <v>48</v>
      </c>
      <c r="C46" s="3">
        <f t="shared" si="7"/>
        <v>0.67109634551495012</v>
      </c>
      <c r="D46" s="4">
        <f>'[1]1'!$B$39</f>
        <v>19264</v>
      </c>
      <c r="E46" s="9">
        <f>'[1]2'!$C$22</f>
        <v>12928</v>
      </c>
      <c r="F46" s="4">
        <f>'[1]1'!$C$39</f>
        <v>16280</v>
      </c>
      <c r="G46" s="5">
        <v>2752</v>
      </c>
      <c r="H46" s="3">
        <f t="shared" si="8"/>
        <v>0.21287128712871287</v>
      </c>
      <c r="I46" s="10">
        <v>5</v>
      </c>
      <c r="J46" s="10">
        <v>5</v>
      </c>
      <c r="K46" s="5">
        <f>((100+(100*((G46/E46)*(J46/I46))))/2)*0.9</f>
        <v>54.579207920792086</v>
      </c>
    </row>
    <row r="47" spans="1:11" ht="26.25" thickTop="1" thickBot="1">
      <c r="A47" s="11">
        <v>32</v>
      </c>
      <c r="B47" s="13" t="s">
        <v>49</v>
      </c>
      <c r="C47" s="3">
        <v>0</v>
      </c>
      <c r="D47" s="4">
        <f>'[1]1'!$B$5</f>
        <v>1560</v>
      </c>
      <c r="E47" s="9">
        <v>0</v>
      </c>
      <c r="F47" s="4">
        <f>'[1]1'!$C$5</f>
        <v>825</v>
      </c>
      <c r="G47" s="5">
        <v>0</v>
      </c>
      <c r="H47" s="3">
        <v>0</v>
      </c>
      <c r="I47" s="10">
        <v>3</v>
      </c>
      <c r="J47" s="10">
        <v>0</v>
      </c>
      <c r="K47" s="5">
        <v>0</v>
      </c>
    </row>
    <row r="48" spans="1:11" ht="26.25" thickTop="1" thickBot="1">
      <c r="A48" s="11">
        <v>33</v>
      </c>
      <c r="B48" s="13" t="s">
        <v>95</v>
      </c>
      <c r="C48" s="3">
        <v>0</v>
      </c>
      <c r="D48" s="4">
        <v>400</v>
      </c>
      <c r="E48" s="9">
        <v>0</v>
      </c>
      <c r="F48" s="4">
        <v>0</v>
      </c>
      <c r="G48" s="5">
        <v>0</v>
      </c>
      <c r="H48" s="3">
        <v>0</v>
      </c>
      <c r="I48" s="10">
        <v>1</v>
      </c>
      <c r="J48" s="10">
        <v>0</v>
      </c>
      <c r="K48" s="5">
        <v>0</v>
      </c>
    </row>
    <row r="49" spans="1:11" ht="31.5" thickTop="1" thickBot="1">
      <c r="A49" s="32" t="s">
        <v>50</v>
      </c>
      <c r="B49" s="32"/>
      <c r="C49" s="8">
        <f t="shared" si="7"/>
        <v>0.53138343528286924</v>
      </c>
      <c r="D49" s="9">
        <f>SUM(D42:D48)</f>
        <v>92039</v>
      </c>
      <c r="E49" s="9">
        <f>SUM(E42:E48)</f>
        <v>48908</v>
      </c>
      <c r="F49" s="9">
        <f>SUM(F42:F48)</f>
        <v>59142</v>
      </c>
      <c r="G49" s="5">
        <f>SUM(G42:G48)</f>
        <v>9792</v>
      </c>
      <c r="H49" s="3">
        <f>G49/E49</f>
        <v>0.20021264414819662</v>
      </c>
      <c r="I49" s="10">
        <f>SUM(I42:I48)</f>
        <v>26</v>
      </c>
      <c r="J49" s="10">
        <f>SUM(J42:J48)</f>
        <v>17</v>
      </c>
      <c r="K49" s="5">
        <f>((100+(100*((G49/E49)*(J49/I49))))/2)*0.8</f>
        <v>45.23633069310668</v>
      </c>
    </row>
    <row r="50" spans="1:11" ht="27.75" thickTop="1" thickBo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19"/>
    </row>
    <row r="51" spans="1:11" ht="27.75" thickTop="1" thickBot="1">
      <c r="A51" s="36" t="s">
        <v>51</v>
      </c>
      <c r="B51" s="37"/>
      <c r="C51" s="37"/>
      <c r="D51" s="37"/>
      <c r="E51" s="37"/>
      <c r="F51" s="37"/>
      <c r="G51" s="37"/>
      <c r="H51" s="37"/>
      <c r="I51" s="37"/>
      <c r="J51" s="37"/>
      <c r="K51" s="38"/>
    </row>
    <row r="52" spans="1:11" ht="26.25" thickTop="1" thickBot="1">
      <c r="A52" s="11">
        <v>34</v>
      </c>
      <c r="B52" s="7" t="s">
        <v>52</v>
      </c>
      <c r="C52" s="3">
        <f t="shared" ref="C52:C55" si="9">E52/D52</f>
        <v>0.13642903209803045</v>
      </c>
      <c r="D52" s="4">
        <f>'[1]1'!$B$24+'[2]1'!$B$17</f>
        <v>40314</v>
      </c>
      <c r="E52" s="5">
        <f>'[1]2'!$C$14</f>
        <v>5500</v>
      </c>
      <c r="F52" s="4">
        <f>'[1]1'!$C$24+'[2]1'!$D$17</f>
        <v>32332</v>
      </c>
      <c r="G52" s="5">
        <v>5500</v>
      </c>
      <c r="H52" s="3">
        <f t="shared" ref="H52:H55" si="10">G52/E52</f>
        <v>1</v>
      </c>
      <c r="I52" s="6">
        <v>5</v>
      </c>
      <c r="J52" s="6">
        <v>1</v>
      </c>
      <c r="K52" s="5">
        <f>((2*14)+(100*((G52/E52)*(J52/I52))))/2*0.8</f>
        <v>19.200000000000003</v>
      </c>
    </row>
    <row r="53" spans="1:11" ht="26.25" thickTop="1" thickBot="1">
      <c r="A53" s="11">
        <v>35</v>
      </c>
      <c r="B53" s="7" t="s">
        <v>53</v>
      </c>
      <c r="C53" s="3">
        <f t="shared" si="9"/>
        <v>0</v>
      </c>
      <c r="D53" s="4">
        <f>'[1]1'!$B$49</f>
        <v>18112</v>
      </c>
      <c r="E53" s="5">
        <v>0</v>
      </c>
      <c r="F53" s="4">
        <f>'[1]1'!$C$49</f>
        <v>17868</v>
      </c>
      <c r="G53" s="5">
        <v>0</v>
      </c>
      <c r="H53" s="3">
        <v>0</v>
      </c>
      <c r="I53" s="6">
        <v>13</v>
      </c>
      <c r="J53" s="6">
        <v>0</v>
      </c>
      <c r="K53" s="5">
        <v>0</v>
      </c>
    </row>
    <row r="54" spans="1:11" ht="26.25" thickTop="1" thickBot="1">
      <c r="A54" s="11">
        <v>36</v>
      </c>
      <c r="B54" s="13" t="s">
        <v>54</v>
      </c>
      <c r="C54" s="3">
        <v>0</v>
      </c>
      <c r="D54" s="5">
        <f>'[1]1'!$B$59</f>
        <v>1030</v>
      </c>
      <c r="E54" s="5">
        <v>0</v>
      </c>
      <c r="F54" s="5">
        <f>'[1]1'!$C$59</f>
        <v>390</v>
      </c>
      <c r="G54" s="5">
        <v>0</v>
      </c>
      <c r="H54" s="3">
        <v>0</v>
      </c>
      <c r="I54" s="10">
        <v>1</v>
      </c>
      <c r="J54" s="10">
        <v>0</v>
      </c>
      <c r="K54" s="5">
        <v>0</v>
      </c>
    </row>
    <row r="55" spans="1:11" ht="31.5" thickTop="1" thickBot="1">
      <c r="A55" s="32" t="s">
        <v>55</v>
      </c>
      <c r="B55" s="32"/>
      <c r="C55" s="8">
        <f t="shared" si="9"/>
        <v>9.2505382131324004E-2</v>
      </c>
      <c r="D55" s="5">
        <f>SUM(D52:D54)</f>
        <v>59456</v>
      </c>
      <c r="E55" s="5">
        <f>SUM(E52:E54)</f>
        <v>5500</v>
      </c>
      <c r="F55" s="5">
        <f>SUM(F52:F54)</f>
        <v>50590</v>
      </c>
      <c r="G55" s="5">
        <f>SUM(G52:G54)</f>
        <v>5500</v>
      </c>
      <c r="H55" s="3">
        <f t="shared" si="10"/>
        <v>1</v>
      </c>
      <c r="I55" s="10">
        <f>SUM(I52:I54)</f>
        <v>19</v>
      </c>
      <c r="J55" s="10">
        <f>SUM(J52:J54)</f>
        <v>1</v>
      </c>
      <c r="K55" s="5">
        <f>((2*9)+(100*((G55/E55)*(J55/I55))))/2*0.8</f>
        <v>9.3052631578947373</v>
      </c>
    </row>
    <row r="56" spans="1:11" ht="27.75" thickTop="1" thickBo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19"/>
    </row>
    <row r="57" spans="1:11" ht="27.75" thickTop="1" thickBot="1">
      <c r="A57" s="36" t="s">
        <v>56</v>
      </c>
      <c r="B57" s="37"/>
      <c r="C57" s="37"/>
      <c r="D57" s="37"/>
      <c r="E57" s="37"/>
      <c r="F57" s="37"/>
      <c r="G57" s="37"/>
      <c r="H57" s="37"/>
      <c r="I57" s="37"/>
      <c r="J57" s="37"/>
      <c r="K57" s="38"/>
    </row>
    <row r="58" spans="1:11" ht="26.25" thickTop="1" thickBot="1">
      <c r="A58" s="11">
        <v>37</v>
      </c>
      <c r="B58" s="13" t="s">
        <v>57</v>
      </c>
      <c r="C58" s="3">
        <v>0</v>
      </c>
      <c r="D58" s="4">
        <f>'[2]1'!$B$26</f>
        <v>500</v>
      </c>
      <c r="E58" s="4">
        <v>0</v>
      </c>
      <c r="F58" s="4">
        <f>'[2]1'!$D$26</f>
        <v>200</v>
      </c>
      <c r="G58" s="5">
        <v>0</v>
      </c>
      <c r="H58" s="3">
        <v>0</v>
      </c>
      <c r="I58" s="10">
        <v>1</v>
      </c>
      <c r="J58" s="10">
        <v>0</v>
      </c>
      <c r="K58" s="5">
        <v>0</v>
      </c>
    </row>
    <row r="59" spans="1:11" ht="26.25" thickTop="1" thickBot="1">
      <c r="A59" s="1">
        <v>38</v>
      </c>
      <c r="B59" s="7" t="s">
        <v>58</v>
      </c>
      <c r="C59" s="3">
        <f t="shared" ref="C59:C61" si="11">E59/D59</f>
        <v>0</v>
      </c>
      <c r="D59" s="4">
        <f>'[1]1'!$B$42</f>
        <v>3275</v>
      </c>
      <c r="E59" s="4">
        <v>0</v>
      </c>
      <c r="F59" s="4">
        <f>'[1]1'!$C$42</f>
        <v>2150</v>
      </c>
      <c r="G59" s="5">
        <v>0</v>
      </c>
      <c r="H59" s="3">
        <v>0</v>
      </c>
      <c r="I59" s="6">
        <v>3</v>
      </c>
      <c r="J59" s="6">
        <v>0</v>
      </c>
      <c r="K59" s="5">
        <v>0</v>
      </c>
    </row>
    <row r="60" spans="1:11" ht="26.25" thickTop="1" thickBot="1">
      <c r="A60" s="11">
        <v>39</v>
      </c>
      <c r="B60" s="13" t="s">
        <v>59</v>
      </c>
      <c r="C60" s="3">
        <v>0</v>
      </c>
      <c r="D60" s="4">
        <f>'[2]1'!$B$28</f>
        <v>4000</v>
      </c>
      <c r="E60" s="4">
        <v>0</v>
      </c>
      <c r="F60" s="4">
        <f>'[2]1'!$D$28</f>
        <v>425</v>
      </c>
      <c r="G60" s="5">
        <v>0</v>
      </c>
      <c r="H60" s="3">
        <v>0</v>
      </c>
      <c r="I60" s="10">
        <v>1</v>
      </c>
      <c r="J60" s="10">
        <v>0</v>
      </c>
      <c r="K60" s="5">
        <v>0</v>
      </c>
    </row>
    <row r="61" spans="1:11" ht="31.5" thickTop="1" thickBot="1">
      <c r="A61" s="32" t="s">
        <v>60</v>
      </c>
      <c r="B61" s="32"/>
      <c r="C61" s="8">
        <f t="shared" si="11"/>
        <v>0</v>
      </c>
      <c r="D61" s="9">
        <f>SUM(D58:D60)</f>
        <v>7775</v>
      </c>
      <c r="E61" s="5">
        <f>SUM(E58:E60)</f>
        <v>0</v>
      </c>
      <c r="F61" s="5">
        <f>SUM(F58:F60)</f>
        <v>2775</v>
      </c>
      <c r="G61" s="5">
        <f>SUM(G58:G60)</f>
        <v>0</v>
      </c>
      <c r="H61" s="3">
        <v>0</v>
      </c>
      <c r="I61" s="10">
        <f>SUM(I58:I60)</f>
        <v>5</v>
      </c>
      <c r="J61" s="10">
        <f>SUM(J58:J60)</f>
        <v>0</v>
      </c>
      <c r="K61" s="5">
        <v>0</v>
      </c>
    </row>
    <row r="62" spans="1:11" ht="26.25" thickTop="1" thickBot="1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4"/>
    </row>
    <row r="63" spans="1:11" ht="27.75" thickTop="1" thickBot="1">
      <c r="A63" s="36" t="s">
        <v>61</v>
      </c>
      <c r="B63" s="37"/>
      <c r="C63" s="37"/>
      <c r="D63" s="37"/>
      <c r="E63" s="37"/>
      <c r="F63" s="37"/>
      <c r="G63" s="37"/>
      <c r="H63" s="37"/>
      <c r="I63" s="37"/>
      <c r="J63" s="37"/>
      <c r="K63" s="38"/>
    </row>
    <row r="64" spans="1:11" ht="26.25" thickTop="1" thickBot="1">
      <c r="A64" s="11">
        <v>40</v>
      </c>
      <c r="B64" s="7" t="s">
        <v>62</v>
      </c>
      <c r="C64" s="3">
        <f>E64/D64</f>
        <v>0</v>
      </c>
      <c r="D64" s="4">
        <f>'[1]1'!$B$34</f>
        <v>860</v>
      </c>
      <c r="E64" s="4">
        <v>0</v>
      </c>
      <c r="F64" s="4">
        <f>'[1]1'!$C$34</f>
        <v>770</v>
      </c>
      <c r="G64" s="5">
        <v>0</v>
      </c>
      <c r="H64" s="3">
        <v>0</v>
      </c>
      <c r="I64" s="6">
        <v>1</v>
      </c>
      <c r="J64" s="6">
        <v>0</v>
      </c>
      <c r="K64" s="5">
        <v>0</v>
      </c>
    </row>
    <row r="65" spans="1:11" ht="26.25" customHeight="1" thickTop="1" thickBot="1">
      <c r="A65" s="32" t="s">
        <v>63</v>
      </c>
      <c r="B65" s="32"/>
      <c r="C65" s="14">
        <f>E65/D65</f>
        <v>0</v>
      </c>
      <c r="D65" s="5">
        <f>D64</f>
        <v>860</v>
      </c>
      <c r="E65" s="5">
        <f>E64</f>
        <v>0</v>
      </c>
      <c r="F65" s="5">
        <f>F64</f>
        <v>770</v>
      </c>
      <c r="G65" s="5">
        <f>G64</f>
        <v>0</v>
      </c>
      <c r="H65" s="3">
        <v>0</v>
      </c>
      <c r="I65" s="10">
        <f t="shared" ref="I65:J65" si="12">I64</f>
        <v>1</v>
      </c>
      <c r="J65" s="10">
        <f t="shared" si="12"/>
        <v>0</v>
      </c>
      <c r="K65" s="5">
        <v>0</v>
      </c>
    </row>
    <row r="66" spans="1:11" ht="26.25" customHeight="1" thickTop="1" thickBot="1">
      <c r="A66" s="49"/>
      <c r="B66" s="50"/>
      <c r="C66" s="50"/>
      <c r="D66" s="50"/>
      <c r="E66" s="50"/>
      <c r="F66" s="50"/>
      <c r="G66" s="50"/>
      <c r="H66" s="50"/>
      <c r="I66" s="50"/>
      <c r="J66" s="51"/>
      <c r="K66" s="19"/>
    </row>
    <row r="67" spans="1:11" ht="27.75" thickTop="1" thickBot="1">
      <c r="A67" s="36" t="s">
        <v>64</v>
      </c>
      <c r="B67" s="37"/>
      <c r="C67" s="37"/>
      <c r="D67" s="37"/>
      <c r="E67" s="37"/>
      <c r="F67" s="37"/>
      <c r="G67" s="37"/>
      <c r="H67" s="37"/>
      <c r="I67" s="37"/>
      <c r="J67" s="37"/>
      <c r="K67" s="38"/>
    </row>
    <row r="68" spans="1:11" ht="26.25" thickTop="1" thickBot="1">
      <c r="A68" s="11">
        <v>41</v>
      </c>
      <c r="B68" s="13" t="s">
        <v>65</v>
      </c>
      <c r="C68" s="3">
        <v>0</v>
      </c>
      <c r="D68" s="5">
        <v>0</v>
      </c>
      <c r="E68" s="5"/>
      <c r="F68" s="5">
        <v>0</v>
      </c>
      <c r="G68" s="5">
        <v>0</v>
      </c>
      <c r="H68" s="3">
        <v>0</v>
      </c>
      <c r="I68" s="6">
        <v>0</v>
      </c>
      <c r="J68" s="10">
        <v>0</v>
      </c>
      <c r="K68" s="5">
        <v>0</v>
      </c>
    </row>
    <row r="69" spans="1:11" ht="26.25" thickTop="1" thickBot="1">
      <c r="A69" s="11">
        <v>42</v>
      </c>
      <c r="B69" s="13" t="s">
        <v>66</v>
      </c>
      <c r="C69" s="3">
        <v>0</v>
      </c>
      <c r="D69" s="5">
        <v>0</v>
      </c>
      <c r="E69" s="5">
        <v>0</v>
      </c>
      <c r="F69" s="5">
        <v>0</v>
      </c>
      <c r="G69" s="5">
        <v>0</v>
      </c>
      <c r="H69" s="3">
        <v>0</v>
      </c>
      <c r="I69" s="6">
        <v>0</v>
      </c>
      <c r="J69" s="10">
        <v>0</v>
      </c>
      <c r="K69" s="5">
        <v>0</v>
      </c>
    </row>
    <row r="70" spans="1:11" ht="31.5" thickTop="1" thickBot="1">
      <c r="A70" s="32" t="s">
        <v>67</v>
      </c>
      <c r="B70" s="32"/>
      <c r="C70" s="8">
        <v>0</v>
      </c>
      <c r="D70" s="5">
        <f>SUM(D68:D69)</f>
        <v>0</v>
      </c>
      <c r="E70" s="5">
        <f>SUM(E68:E69)</f>
        <v>0</v>
      </c>
      <c r="F70" s="5">
        <f>SUM(F68:F69)</f>
        <v>0</v>
      </c>
      <c r="G70" s="5">
        <f>SUM(G68:G69)</f>
        <v>0</v>
      </c>
      <c r="H70" s="3">
        <v>0</v>
      </c>
      <c r="I70" s="6">
        <f>SUM(I68:I69)</f>
        <v>0</v>
      </c>
      <c r="J70" s="10">
        <f>SUM(J68:J69)</f>
        <v>0</v>
      </c>
      <c r="K70" s="5">
        <v>0</v>
      </c>
    </row>
    <row r="71" spans="1:11" ht="27.75" thickTop="1" thickBot="1">
      <c r="A71" s="42"/>
      <c r="B71" s="43"/>
      <c r="C71" s="43"/>
      <c r="D71" s="43"/>
      <c r="E71" s="43"/>
      <c r="F71" s="43"/>
      <c r="G71" s="43"/>
      <c r="H71" s="43"/>
      <c r="I71" s="43"/>
      <c r="J71" s="44"/>
      <c r="K71" s="19"/>
    </row>
    <row r="72" spans="1:11" ht="27.75" thickTop="1" thickBot="1">
      <c r="A72" s="36" t="s">
        <v>68</v>
      </c>
      <c r="B72" s="37"/>
      <c r="C72" s="37"/>
      <c r="D72" s="37"/>
      <c r="E72" s="37"/>
      <c r="F72" s="37"/>
      <c r="G72" s="37"/>
      <c r="H72" s="37"/>
      <c r="I72" s="37"/>
      <c r="J72" s="37"/>
      <c r="K72" s="38"/>
    </row>
    <row r="73" spans="1:11" ht="26.25" thickTop="1" thickBot="1">
      <c r="A73" s="1">
        <v>43</v>
      </c>
      <c r="B73" s="7" t="s">
        <v>69</v>
      </c>
      <c r="C73" s="3">
        <f>E73/D73</f>
        <v>0.10666666666666667</v>
      </c>
      <c r="D73" s="4">
        <f>'[1]1'!$B$28</f>
        <v>9787.5</v>
      </c>
      <c r="E73" s="5">
        <f>'[1]2'!$C$17</f>
        <v>1044</v>
      </c>
      <c r="F73" s="4">
        <f>'[1]1'!$C$28</f>
        <v>9787.5</v>
      </c>
      <c r="G73" s="5">
        <v>479</v>
      </c>
      <c r="H73" s="3">
        <f t="shared" ref="H73:H93" si="13">G73/E73</f>
        <v>0.45881226053639845</v>
      </c>
      <c r="I73" s="6">
        <v>6</v>
      </c>
      <c r="J73" s="6">
        <v>2</v>
      </c>
      <c r="K73" s="5">
        <f>((2*11)+(100*((G73/E73)*(J73/I73))))/2*0.9</f>
        <v>16.78218390804598</v>
      </c>
    </row>
    <row r="74" spans="1:11" ht="26.25" thickTop="1" thickBot="1">
      <c r="A74" s="1">
        <v>44</v>
      </c>
      <c r="B74" s="7" t="s">
        <v>70</v>
      </c>
      <c r="C74" s="3">
        <f t="shared" ref="C74:C93" si="14">E74/D74</f>
        <v>0</v>
      </c>
      <c r="D74" s="4">
        <f>'[1]1'!$B$52</f>
        <v>16500</v>
      </c>
      <c r="E74" s="5">
        <v>0</v>
      </c>
      <c r="F74" s="4">
        <f>'[1]1'!$C$52</f>
        <v>4890</v>
      </c>
      <c r="G74" s="5">
        <v>0</v>
      </c>
      <c r="H74" s="3">
        <v>0</v>
      </c>
      <c r="I74" s="6">
        <v>8</v>
      </c>
      <c r="J74" s="6">
        <v>0</v>
      </c>
      <c r="K74" s="5">
        <v>0</v>
      </c>
    </row>
    <row r="75" spans="1:11" ht="26.25" thickTop="1" thickBot="1">
      <c r="A75" s="1">
        <v>45</v>
      </c>
      <c r="B75" s="7" t="s">
        <v>71</v>
      </c>
      <c r="C75" s="3">
        <f t="shared" si="14"/>
        <v>0.16351827288112336</v>
      </c>
      <c r="D75" s="4">
        <f>'[1]1'!$B$13+'[2]1'!$B$8+'[2]1'!$B$9</f>
        <v>43726</v>
      </c>
      <c r="E75" s="5">
        <f>'[1]2'!$C$6</f>
        <v>7150</v>
      </c>
      <c r="F75" s="4">
        <f>'[1]1'!$C$13+'[2]1'!$D$8+'[2]1'!$D$9</f>
        <v>40094</v>
      </c>
      <c r="G75" s="5">
        <v>3550</v>
      </c>
      <c r="H75" s="3">
        <f t="shared" si="13"/>
        <v>0.49650349650349651</v>
      </c>
      <c r="I75" s="6">
        <v>4</v>
      </c>
      <c r="J75" s="6">
        <v>1</v>
      </c>
      <c r="K75" s="5">
        <f>((2*16)+(100*((G75/E75)*(J75/I75))))/2*0.9</f>
        <v>19.985664335664335</v>
      </c>
    </row>
    <row r="76" spans="1:11" ht="26.25" thickTop="1" thickBot="1">
      <c r="A76" s="1">
        <v>46</v>
      </c>
      <c r="B76" s="7" t="s">
        <v>72</v>
      </c>
      <c r="C76" s="3">
        <f t="shared" si="14"/>
        <v>0.15063563650077785</v>
      </c>
      <c r="D76" s="4">
        <f>'[1]1'!$B$29+'[2]1'!$B$19</f>
        <v>25454.799999999999</v>
      </c>
      <c r="E76" s="5">
        <f>'[1]2'!$C$18</f>
        <v>3834.3999999999996</v>
      </c>
      <c r="F76" s="4">
        <f>'[1]1'!$C$29+'[2]1'!$D$19</f>
        <v>18242.52</v>
      </c>
      <c r="G76" s="5">
        <v>803.5</v>
      </c>
      <c r="H76" s="3">
        <f t="shared" si="13"/>
        <v>0.20955038597955353</v>
      </c>
      <c r="I76" s="6">
        <v>16</v>
      </c>
      <c r="J76" s="6">
        <v>2</v>
      </c>
      <c r="K76" s="5">
        <f>((2*15)+(100*((G76/E76)*(J76/I76))))/2*0.9</f>
        <v>14.678720921134989</v>
      </c>
    </row>
    <row r="77" spans="1:11" ht="26.25" thickTop="1" thickBot="1">
      <c r="A77" s="1">
        <v>47</v>
      </c>
      <c r="B77" s="7" t="s">
        <v>73</v>
      </c>
      <c r="C77" s="3">
        <f t="shared" si="14"/>
        <v>1</v>
      </c>
      <c r="D77" s="4">
        <f>'[1]1'!$B$22</f>
        <v>11995.200000000004</v>
      </c>
      <c r="E77" s="5">
        <f>'[1]2'!$C$12</f>
        <v>11995.200000000004</v>
      </c>
      <c r="F77" s="4">
        <f>'[1]1'!$C$22</f>
        <v>4067.2799999999997</v>
      </c>
      <c r="G77" s="5">
        <v>3866</v>
      </c>
      <c r="H77" s="3">
        <f t="shared" si="13"/>
        <v>0.32229558490062682</v>
      </c>
      <c r="I77" s="6">
        <v>3</v>
      </c>
      <c r="J77" s="6">
        <v>3</v>
      </c>
      <c r="K77" s="5">
        <f>((100+(100*((G77/E77)*(J77/I77))))/2)*0.9</f>
        <v>59.503301320528209</v>
      </c>
    </row>
    <row r="78" spans="1:11" ht="26.25" thickTop="1" thickBot="1">
      <c r="A78" s="1">
        <v>48</v>
      </c>
      <c r="B78" s="7" t="s">
        <v>74</v>
      </c>
      <c r="C78" s="3">
        <f t="shared" si="14"/>
        <v>1</v>
      </c>
      <c r="D78" s="4">
        <f>'[1]1'!$B$48</f>
        <v>4781.25</v>
      </c>
      <c r="E78" s="5">
        <f>'[1]2'!$C$27</f>
        <v>4781.25</v>
      </c>
      <c r="F78" s="4">
        <f>'[1]1'!$C$48</f>
        <v>2160</v>
      </c>
      <c r="G78" s="5">
        <v>1485</v>
      </c>
      <c r="H78" s="3">
        <f t="shared" si="13"/>
        <v>0.31058823529411766</v>
      </c>
      <c r="I78" s="6">
        <v>1</v>
      </c>
      <c r="J78" s="6">
        <v>1</v>
      </c>
      <c r="K78" s="5">
        <f>((100+(100*((G78/E78)*(J78/I78))))/2)*0.9</f>
        <v>58.976470588235294</v>
      </c>
    </row>
    <row r="79" spans="1:11" ht="26.25" thickTop="1" thickBot="1">
      <c r="A79" s="1">
        <v>49</v>
      </c>
      <c r="B79" s="7" t="s">
        <v>75</v>
      </c>
      <c r="C79" s="3">
        <v>0</v>
      </c>
      <c r="D79" s="4">
        <f>'[1]1'!$B$27</f>
        <v>3725</v>
      </c>
      <c r="E79" s="5">
        <v>0</v>
      </c>
      <c r="F79" s="4">
        <f>'[1]1'!$C$27</f>
        <v>2825</v>
      </c>
      <c r="G79" s="5">
        <v>0</v>
      </c>
      <c r="H79" s="3">
        <v>0</v>
      </c>
      <c r="I79" s="6">
        <v>1</v>
      </c>
      <c r="J79" s="6">
        <v>0</v>
      </c>
      <c r="K79" s="5">
        <v>0</v>
      </c>
    </row>
    <row r="80" spans="1:11" ht="26.25" thickTop="1" thickBot="1">
      <c r="A80" s="1">
        <v>50</v>
      </c>
      <c r="B80" s="7" t="s">
        <v>76</v>
      </c>
      <c r="C80" s="3">
        <f t="shared" si="14"/>
        <v>0.59023136246786634</v>
      </c>
      <c r="D80" s="4">
        <f>'[1]1'!$B$69</f>
        <v>5835</v>
      </c>
      <c r="E80" s="5">
        <f>'[1]2'!$C$39</f>
        <v>3444</v>
      </c>
      <c r="F80" s="4">
        <f>'[1]1'!$C$69-63</f>
        <v>5835</v>
      </c>
      <c r="G80" s="5">
        <v>1239</v>
      </c>
      <c r="H80" s="3">
        <f t="shared" si="13"/>
        <v>0.3597560975609756</v>
      </c>
      <c r="I80" s="6">
        <v>9</v>
      </c>
      <c r="J80" s="6">
        <v>4</v>
      </c>
      <c r="K80" s="5">
        <f>((100+(100*((G80/E80)*(J80/I80))))/2)*0.8</f>
        <v>46.395663956639567</v>
      </c>
    </row>
    <row r="81" spans="1:11" ht="26.25" thickTop="1" thickBot="1">
      <c r="A81" s="1">
        <v>51</v>
      </c>
      <c r="B81" s="7" t="s">
        <v>77</v>
      </c>
      <c r="C81" s="3">
        <f t="shared" si="14"/>
        <v>0</v>
      </c>
      <c r="D81" s="4">
        <f>'[1]1'!$B$20</f>
        <v>4032</v>
      </c>
      <c r="E81" s="5">
        <v>0</v>
      </c>
      <c r="F81" s="4">
        <f>'[1]1'!$C$20</f>
        <v>4032</v>
      </c>
      <c r="G81" s="5">
        <v>0</v>
      </c>
      <c r="H81" s="3">
        <v>0</v>
      </c>
      <c r="I81" s="6">
        <v>1</v>
      </c>
      <c r="J81" s="6">
        <v>0</v>
      </c>
      <c r="K81" s="5">
        <v>0</v>
      </c>
    </row>
    <row r="82" spans="1:11" ht="26.25" thickTop="1" thickBot="1">
      <c r="A82" s="1">
        <v>52</v>
      </c>
      <c r="B82" s="7" t="s">
        <v>78</v>
      </c>
      <c r="C82" s="3">
        <f t="shared" si="14"/>
        <v>0.29272349272349274</v>
      </c>
      <c r="D82" s="4">
        <f>'[1]1'!$B$12</f>
        <v>4810</v>
      </c>
      <c r="E82" s="5">
        <f>'[1]2'!$C$5</f>
        <v>1408</v>
      </c>
      <c r="F82" s="4">
        <f>'[1]1'!$C$12</f>
        <v>1521</v>
      </c>
      <c r="G82" s="5">
        <v>0</v>
      </c>
      <c r="H82" s="3">
        <v>0</v>
      </c>
      <c r="I82" s="6">
        <v>3</v>
      </c>
      <c r="J82" s="6">
        <v>1</v>
      </c>
      <c r="K82" s="5">
        <v>0</v>
      </c>
    </row>
    <row r="83" spans="1:11" ht="26.25" thickTop="1" thickBot="1">
      <c r="A83" s="1">
        <v>53</v>
      </c>
      <c r="B83" s="7" t="s">
        <v>79</v>
      </c>
      <c r="C83" s="3">
        <f t="shared" si="14"/>
        <v>0.53038674033149169</v>
      </c>
      <c r="D83" s="4">
        <f>'[1]1'!$B$17+'[2]1'!$B$13+'[2]1'!$B$14+'[2]1'!$C$13</f>
        <v>9050</v>
      </c>
      <c r="E83" s="5">
        <f>'[1]2'!$C$9+4000</f>
        <v>4800</v>
      </c>
      <c r="F83" s="4">
        <f>'[1]1'!$C$17+'[2]1'!$D$13+'[2]1'!$D$14</f>
        <v>6200</v>
      </c>
      <c r="G83" s="5">
        <f>400+2000</f>
        <v>2400</v>
      </c>
      <c r="H83" s="3">
        <f t="shared" si="13"/>
        <v>0.5</v>
      </c>
      <c r="I83" s="6">
        <v>4</v>
      </c>
      <c r="J83" s="6">
        <v>3</v>
      </c>
      <c r="K83" s="5">
        <f>((100+(100*((G83/E83)*(J83/I83))))/2)*0.9</f>
        <v>61.875</v>
      </c>
    </row>
    <row r="84" spans="1:11" ht="26.25" thickTop="1" thickBot="1">
      <c r="A84" s="1">
        <v>54</v>
      </c>
      <c r="B84" s="2" t="s">
        <v>80</v>
      </c>
      <c r="C84" s="3">
        <f t="shared" si="14"/>
        <v>1</v>
      </c>
      <c r="D84" s="4">
        <f>'[2]1'!$B$27</f>
        <v>7700</v>
      </c>
      <c r="E84" s="5">
        <v>7700</v>
      </c>
      <c r="F84" s="4">
        <f>'[2]1'!$D$27</f>
        <v>7700</v>
      </c>
      <c r="G84" s="5">
        <v>2975</v>
      </c>
      <c r="H84" s="3">
        <f t="shared" si="13"/>
        <v>0.38636363636363635</v>
      </c>
      <c r="I84" s="6">
        <v>1</v>
      </c>
      <c r="J84" s="6">
        <v>1</v>
      </c>
      <c r="K84" s="5">
        <f>((100+(100*((G84/E84)*(J84/I84))))/2)*0.9</f>
        <v>62.386363636363633</v>
      </c>
    </row>
    <row r="85" spans="1:11" ht="26.25" thickTop="1" thickBot="1">
      <c r="A85" s="1">
        <v>55</v>
      </c>
      <c r="B85" s="7" t="s">
        <v>81</v>
      </c>
      <c r="C85" s="3">
        <f t="shared" si="14"/>
        <v>0</v>
      </c>
      <c r="D85" s="4">
        <f>'[1]1'!$B$44</f>
        <v>9960</v>
      </c>
      <c r="E85" s="5">
        <v>0</v>
      </c>
      <c r="F85" s="4">
        <f>'[1]1'!$C$44</f>
        <v>9960</v>
      </c>
      <c r="G85" s="5">
        <v>0</v>
      </c>
      <c r="H85" s="3">
        <v>0</v>
      </c>
      <c r="I85" s="6">
        <v>1</v>
      </c>
      <c r="J85" s="6">
        <v>0</v>
      </c>
      <c r="K85" s="5">
        <v>0</v>
      </c>
    </row>
    <row r="86" spans="1:11" ht="26.25" thickTop="1" thickBot="1">
      <c r="A86" s="1">
        <v>56</v>
      </c>
      <c r="B86" s="7" t="s">
        <v>82</v>
      </c>
      <c r="C86" s="3">
        <f t="shared" si="14"/>
        <v>0</v>
      </c>
      <c r="D86" s="4">
        <f>'[1]1'!$B$11</f>
        <v>41272</v>
      </c>
      <c r="E86" s="4">
        <v>0</v>
      </c>
      <c r="F86" s="4">
        <f>'[1]1'!$C$11</f>
        <v>39908</v>
      </c>
      <c r="G86" s="5">
        <v>0</v>
      </c>
      <c r="H86" s="3">
        <v>0</v>
      </c>
      <c r="I86" s="6">
        <v>4</v>
      </c>
      <c r="J86" s="6">
        <v>0</v>
      </c>
      <c r="K86" s="5">
        <v>0</v>
      </c>
    </row>
    <row r="87" spans="1:11" ht="26.25" thickTop="1" thickBot="1">
      <c r="A87" s="1">
        <v>57</v>
      </c>
      <c r="B87" s="7" t="s">
        <v>83</v>
      </c>
      <c r="C87" s="3">
        <f t="shared" si="14"/>
        <v>1</v>
      </c>
      <c r="D87" s="4">
        <f>'[2]1'!$B$5+'[2]1'!$B$6</f>
        <v>2580</v>
      </c>
      <c r="E87" s="4">
        <v>2580</v>
      </c>
      <c r="F87" s="4">
        <f>'[2]1'!$D$5+'[2]1'!$D$6</f>
        <v>40</v>
      </c>
      <c r="G87" s="5">
        <v>40</v>
      </c>
      <c r="H87" s="3">
        <f t="shared" si="13"/>
        <v>1.5503875968992248E-2</v>
      </c>
      <c r="I87" s="6">
        <v>3</v>
      </c>
      <c r="J87" s="6">
        <v>3</v>
      </c>
      <c r="K87" s="5">
        <f>((100+(100*((G87/E87)*(J87/I87))))/2)*0.9</f>
        <v>45.697674418604656</v>
      </c>
    </row>
    <row r="88" spans="1:11" ht="26.25" thickTop="1" thickBot="1">
      <c r="A88" s="1">
        <v>58</v>
      </c>
      <c r="B88" s="7" t="s">
        <v>84</v>
      </c>
      <c r="C88" s="3">
        <f t="shared" si="14"/>
        <v>7.236170098381807E-2</v>
      </c>
      <c r="D88" s="4">
        <f>'[1]1'!$B$40</f>
        <v>37202</v>
      </c>
      <c r="E88" s="5">
        <f>'[1]2'!$C$23</f>
        <v>2692</v>
      </c>
      <c r="F88" s="4">
        <f>'[1]1'!$C$40</f>
        <v>35111</v>
      </c>
      <c r="G88" s="5">
        <v>1298</v>
      </c>
      <c r="H88" s="3">
        <f t="shared" si="13"/>
        <v>0.48216939078751858</v>
      </c>
      <c r="I88" s="6">
        <v>16</v>
      </c>
      <c r="J88" s="6">
        <v>3</v>
      </c>
      <c r="K88" s="5">
        <f>((2*7)+(100*((G88/E88)*(J88/I88))))/2*0.9</f>
        <v>10.368304234769687</v>
      </c>
    </row>
    <row r="89" spans="1:11" ht="26.25" thickTop="1" thickBot="1">
      <c r="A89" s="1">
        <v>59</v>
      </c>
      <c r="B89" s="7" t="s">
        <v>85</v>
      </c>
      <c r="C89" s="3">
        <f t="shared" si="14"/>
        <v>0</v>
      </c>
      <c r="D89" s="4">
        <f>'[1]1'!$B$38</f>
        <v>11000</v>
      </c>
      <c r="E89" s="5">
        <v>0</v>
      </c>
      <c r="F89" s="4">
        <f>'[1]1'!$C$38</f>
        <v>7018</v>
      </c>
      <c r="G89" s="5">
        <v>0</v>
      </c>
      <c r="H89" s="3">
        <v>0</v>
      </c>
      <c r="I89" s="6">
        <v>3</v>
      </c>
      <c r="J89" s="6">
        <v>0</v>
      </c>
      <c r="K89" s="5">
        <v>0</v>
      </c>
    </row>
    <row r="90" spans="1:11" ht="26.25" thickTop="1" thickBot="1">
      <c r="A90" s="1">
        <v>60</v>
      </c>
      <c r="B90" s="7" t="s">
        <v>86</v>
      </c>
      <c r="C90" s="3">
        <f t="shared" si="14"/>
        <v>0</v>
      </c>
      <c r="D90" s="4">
        <f>'[1]1'!$B$57+'[2]1'!$B$23+'[2]1'!$C$23</f>
        <v>11500</v>
      </c>
      <c r="E90" s="5">
        <v>0</v>
      </c>
      <c r="F90" s="4">
        <f>'[1]1'!$C$57+'[2]1'!$D$23</f>
        <v>11000</v>
      </c>
      <c r="G90" s="5">
        <v>0</v>
      </c>
      <c r="H90" s="3">
        <v>0</v>
      </c>
      <c r="I90" s="6">
        <v>3</v>
      </c>
      <c r="J90" s="6">
        <v>0</v>
      </c>
      <c r="K90" s="5">
        <v>0</v>
      </c>
    </row>
    <row r="91" spans="1:11" ht="26.25" thickTop="1" thickBot="1">
      <c r="A91" s="1">
        <v>61</v>
      </c>
      <c r="B91" s="7" t="s">
        <v>87</v>
      </c>
      <c r="C91" s="3">
        <v>0</v>
      </c>
      <c r="D91" s="4">
        <f>'[1]1'!$B$62</f>
        <v>1300</v>
      </c>
      <c r="E91" s="5">
        <v>0</v>
      </c>
      <c r="F91" s="4">
        <f>'[1]1'!$C$62</f>
        <v>1100</v>
      </c>
      <c r="G91" s="5">
        <v>0</v>
      </c>
      <c r="H91" s="3">
        <v>0</v>
      </c>
      <c r="I91" s="6">
        <v>2</v>
      </c>
      <c r="J91" s="6">
        <v>0</v>
      </c>
      <c r="K91" s="5">
        <v>0</v>
      </c>
    </row>
    <row r="92" spans="1:11" ht="26.25" thickTop="1" thickBot="1">
      <c r="A92" s="1">
        <v>62</v>
      </c>
      <c r="B92" s="7" t="s">
        <v>88</v>
      </c>
      <c r="C92" s="3">
        <f t="shared" si="14"/>
        <v>0</v>
      </c>
      <c r="D92" s="4">
        <f>'[1]1'!$B$56</f>
        <v>8180</v>
      </c>
      <c r="E92" s="5">
        <v>0</v>
      </c>
      <c r="F92" s="4">
        <f>'[1]1'!$C$56</f>
        <v>8180</v>
      </c>
      <c r="G92" s="5">
        <v>0</v>
      </c>
      <c r="H92" s="3">
        <v>0</v>
      </c>
      <c r="I92" s="6">
        <v>6</v>
      </c>
      <c r="J92" s="6">
        <v>0</v>
      </c>
      <c r="K92" s="5">
        <v>0</v>
      </c>
    </row>
    <row r="93" spans="1:11" ht="27.75" thickTop="1" thickBot="1">
      <c r="A93" s="63" t="s">
        <v>89</v>
      </c>
      <c r="B93" s="63"/>
      <c r="C93" s="8">
        <f t="shared" si="14"/>
        <v>0.19020195772229637</v>
      </c>
      <c r="D93" s="5">
        <f>SUM(D73:D92)</f>
        <v>270390.75</v>
      </c>
      <c r="E93" s="5">
        <f>SUM(E73:E92)</f>
        <v>51428.850000000006</v>
      </c>
      <c r="F93" s="5">
        <f>SUM(F73:F92)</f>
        <v>219671.3</v>
      </c>
      <c r="G93" s="5">
        <f>SUM(G73:G92)</f>
        <v>18135.5</v>
      </c>
      <c r="H93" s="3">
        <f t="shared" si="13"/>
        <v>0.35263281212782316</v>
      </c>
      <c r="I93" s="10">
        <f>SUM(I73:I92)</f>
        <v>95</v>
      </c>
      <c r="J93" s="10">
        <f>SUM(J73:J92)</f>
        <v>24</v>
      </c>
      <c r="K93" s="5">
        <f>((2*19)+(100*((G93/E93)*(J93/I93))))/2*0.9</f>
        <v>21.108878285242621</v>
      </c>
    </row>
    <row r="94" spans="1:11" ht="27.75" customHeight="1" thickTop="1" thickBo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19"/>
    </row>
    <row r="95" spans="1:11" ht="37.5" thickTop="1" thickBot="1">
      <c r="A95" s="57" t="s">
        <v>90</v>
      </c>
      <c r="B95" s="58"/>
      <c r="C95" s="58"/>
      <c r="D95" s="58"/>
      <c r="E95" s="59"/>
      <c r="F95" s="60">
        <v>121973559926231.02</v>
      </c>
      <c r="G95" s="61"/>
      <c r="H95" s="62"/>
      <c r="I95" s="30"/>
      <c r="J95" s="30"/>
      <c r="K95" s="31"/>
    </row>
    <row r="96" spans="1:11" ht="31.5" thickTop="1" thickBot="1">
      <c r="A96" s="56" t="s">
        <v>91</v>
      </c>
      <c r="B96" s="56"/>
      <c r="C96" s="25">
        <f>E96/D96</f>
        <v>0.26716725242631612</v>
      </c>
      <c r="D96" s="26">
        <f>D93+D70+D65+D61+D55+D49+D39+D34+D25+D17</f>
        <v>776470.35</v>
      </c>
      <c r="E96" s="26">
        <f>E93+E70+E65+E61+E55+E49+E39+E34+E25+E17</f>
        <v>207447.45</v>
      </c>
      <c r="F96" s="26">
        <f>F93+F70+F65+F61+F55+F49+F39+F34+F25+F17</f>
        <v>582013.69999999995</v>
      </c>
      <c r="G96" s="26">
        <f>G93+G70+G65+G61+G55+G49+G39+G34+G25+G17</f>
        <v>68630.5</v>
      </c>
      <c r="H96" s="27">
        <f>G96/E96</f>
        <v>0.33083318209021129</v>
      </c>
      <c r="I96" s="28">
        <f>I93+I70+I65+I61+I55+I49+I39+I34+I25+I17</f>
        <v>251</v>
      </c>
      <c r="J96" s="28">
        <f>J93+J70+J65+J61+J55+J49+J39+J34+J25+J17</f>
        <v>79</v>
      </c>
      <c r="K96" s="29"/>
    </row>
    <row r="97" ht="15" thickTop="1"/>
  </sheetData>
  <mergeCells count="34">
    <mergeCell ref="A94:J94"/>
    <mergeCell ref="A96:B96"/>
    <mergeCell ref="A95:E95"/>
    <mergeCell ref="F95:H95"/>
    <mergeCell ref="A93:B93"/>
    <mergeCell ref="A63:K63"/>
    <mergeCell ref="A67:K67"/>
    <mergeCell ref="A56:J56"/>
    <mergeCell ref="A61:B61"/>
    <mergeCell ref="A65:B65"/>
    <mergeCell ref="A66:J66"/>
    <mergeCell ref="A62:K62"/>
    <mergeCell ref="A72:K72"/>
    <mergeCell ref="A55:B55"/>
    <mergeCell ref="A26:J26"/>
    <mergeCell ref="A34:B34"/>
    <mergeCell ref="A35:J35"/>
    <mergeCell ref="A39:B39"/>
    <mergeCell ref="A40:J40"/>
    <mergeCell ref="A49:B49"/>
    <mergeCell ref="A50:J50"/>
    <mergeCell ref="A27:K27"/>
    <mergeCell ref="A36:K36"/>
    <mergeCell ref="A41:K41"/>
    <mergeCell ref="A51:K51"/>
    <mergeCell ref="A70:B70"/>
    <mergeCell ref="A71:J71"/>
    <mergeCell ref="A57:K57"/>
    <mergeCell ref="A25:B25"/>
    <mergeCell ref="A1:K1"/>
    <mergeCell ref="A3:K3"/>
    <mergeCell ref="A17:B17"/>
    <mergeCell ref="A18:J18"/>
    <mergeCell ref="A19:K19"/>
  </mergeCells>
  <printOptions horizontalCentered="1" verticalCentered="1"/>
  <pageMargins left="0.25" right="0.25" top="0.75" bottom="0.75" header="0.3" footer="0.3"/>
  <pageSetup paperSize="9" scale="70" fitToHeight="0" orientation="landscape" r:id="rId1"/>
  <rowBreaks count="4" manualBreakCount="4">
    <brk id="18" max="16383" man="1"/>
    <brk id="40" max="10" man="1"/>
    <brk id="62" max="10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 Yousefi</dc:creator>
  <cp:lastModifiedBy>Ehsan Yousefi</cp:lastModifiedBy>
  <cp:lastPrinted>2025-08-10T08:39:47Z</cp:lastPrinted>
  <dcterms:created xsi:type="dcterms:W3CDTF">2024-02-05T06:05:05Z</dcterms:created>
  <dcterms:modified xsi:type="dcterms:W3CDTF">2025-08-10T09:10:46Z</dcterms:modified>
</cp:coreProperties>
</file>